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ver" sheetId="1" state="visible" r:id="rId3"/>
    <sheet name="Award Pack" sheetId="2" state="visible" r:id="rId4"/>
    <sheet name="Comparison" sheetId="3" state="visible" r:id="rId5"/>
    <sheet name="Setup" sheetId="4" state="visible" r:id="rId6"/>
    <sheet name="Supplier info" sheetId="5" state="visible" r:id="rId7"/>
    <sheet name="Quotes" sheetId="6" state="visible" r:id="rId8"/>
  </sheets>
  <definedNames>
    <definedName function="false" hidden="false" localSheetId="1" name="_xlnm.Print_Area" vbProcedure="false">'Award Pack'!$A$1:$H$48</definedName>
    <definedName function="false" hidden="false" localSheetId="0" name="_xlnm.Print_Area" vbProcedure="false">Cover!$A$1:$J$40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<sst xmlns="http://schemas.openxmlformats.org/spreadsheetml/2006/main" count="201" uniqueCount="139">
  <si>
    <t xml:space="preserve">CONSULTING WALLAH · RESOURCES</t>
  </si>
  <si>
    <t xml:space="preserve">Tender Comparison Template</t>
  </si>
  <si>
    <t xml:space="preserve">Compare up to six supplier quotations line by line: landed cost, lead time, validity,</t>
  </si>
  <si>
    <t xml:space="preserve">compliance and a weighted score your approver can sign.</t>
  </si>
  <si>
    <t xml:space="preserve">v1.0 · October 2026 · consultingwallah.com</t>
  </si>
  <si>
    <t xml:space="preserve">How to use</t>
  </si>
  <si>
    <t xml:space="preserve">1</t>
  </si>
  <si>
    <t xml:space="preserve">Set up the tender</t>
  </si>
  <si>
    <t xml:space="preserve">On Setup: tender name, items with quantities, supplier names, and the weights for price, lead time, compliance and track record.</t>
  </si>
  <si>
    <t xml:space="preserve">2</t>
  </si>
  <si>
    <t xml:space="preserve">Enter the quotations</t>
  </si>
  <si>
    <t xml:space="preserve">On Quotes: unit price, freight, duties and other landed-cost lines per supplier and item; lead time, validity and compliance answers on Supplier info.</t>
  </si>
  <si>
    <t xml:space="preserve">3</t>
  </si>
  <si>
    <t xml:space="preserve">Read the comparison</t>
  </si>
  <si>
    <t xml:space="preserve">Comparison ranks suppliers per item and overall; the Award Pack summarises the recommendation with the savings vs. the highest and the budget.</t>
  </si>
  <si>
    <t xml:space="preserve">4</t>
  </si>
  <si>
    <t xml:space="preserve">Sign off</t>
  </si>
  <si>
    <t xml:space="preserve">Print the Award Pack (fits one page) or export to PDF for the approver.</t>
  </si>
  <si>
    <t xml:space="preserve">Legend</t>
  </si>
  <si>
    <t xml:space="preserve">Blue text</t>
  </si>
  <si>
    <t xml:space="preserve">Inputs you type</t>
  </si>
  <si>
    <t xml:space="preserve">Yellow fill</t>
  </si>
  <si>
    <t xml:space="preserve">Weights and budget you may change</t>
  </si>
  <si>
    <t xml:space="preserve">Black text</t>
  </si>
  <si>
    <t xml:space="preserve">Formulas — leave as they are</t>
  </si>
  <si>
    <t xml:space="preserve">Sample data: an illustrative tender for surgical consumables created by Consulting Wallah; not real quotations. One currency per workbook (USD recommended).</t>
  </si>
  <si>
    <t xml:space="preserve">Want comparable quotations from verified suppliers in 26 countries?  Submit a requirement to the Consulting Wallah Network — consultingwallah.com</t>
  </si>
  <si>
    <t xml:space="preserve">© Consulting Wallah. Free to use and share with attribution.</t>
  </si>
  <si>
    <t xml:space="preserve">TENDER COMPARISON · AWARD PACK</t>
  </si>
  <si>
    <t xml:space="preserve">Buyer</t>
  </si>
  <si>
    <t xml:space="preserve">Quote deadline</t>
  </si>
  <si>
    <t xml:space="preserve">Weights check</t>
  </si>
  <si>
    <t xml:space="preserve">BUDGET (USD)</t>
  </si>
  <si>
    <t xml:space="preserve">CURRENT ANNUAL COST (USD)</t>
  </si>
  <si>
    <t xml:space="preserve">BEST-OF-BREED LANDED (USD)</t>
  </si>
  <si>
    <t xml:space="preserve">SAVING VS CURRENT</t>
  </si>
  <si>
    <t xml:space="preserve">RECOMMENDED SINGLE SUPPLIER</t>
  </si>
  <si>
    <t xml:space="preserve">ITS LANDED TOTAL (USD)</t>
  </si>
  <si>
    <t xml:space="preserve">ITS WEIGHTED SCORE</t>
  </si>
  <si>
    <t xml:space="preserve">VS BUDGET</t>
  </si>
  <si>
    <t xml:space="preserve">Supplier ranking</t>
  </si>
  <si>
    <t xml:space="preserve">Supplier</t>
  </si>
  <si>
    <t xml:space="preserve">Landed total (USD)</t>
  </si>
  <si>
    <t xml:space="preserve">Weighted score</t>
  </si>
  <si>
    <t xml:space="preserve">Rank</t>
  </si>
  <si>
    <t xml:space="preserve">Eligible (all items)</t>
  </si>
  <si>
    <t xml:space="preserve">Lead time (days)</t>
  </si>
  <si>
    <t xml:space="preserve">Recommendation (edit):</t>
  </si>
  <si>
    <t xml:space="preserve">Award to the rank-1 eligible supplier for the full basket, subject to sample approval and a 12-month price hold; consider a best-of-breed split only if the saving exceeds the cost of managing two suppliers.</t>
  </si>
  <si>
    <t xml:space="preserve">Prepared by: ____________________    Approved by: ____________________    Date: ____________</t>
  </si>
  <si>
    <t xml:space="preserve">Comparable quotations from verified suppliers in 26 countries · consultingwallah.com → Network</t>
  </si>
  <si>
    <t xml:space="preserve">Comparison</t>
  </si>
  <si>
    <t xml:space="preserve">Total landed cost per supplier, per-item winner, and weighted score. Lowest cost = 100 points; others scaled.</t>
  </si>
  <si>
    <t xml:space="preserve">#</t>
  </si>
  <si>
    <t xml:space="preserve">Item</t>
  </si>
  <si>
    <t xml:space="preserve">Qty</t>
  </si>
  <si>
    <t xml:space="preserve">Lowest landed total</t>
  </si>
  <si>
    <t xml:space="preserve">Best supplier</t>
  </si>
  <si>
    <t xml:space="preserve">Current cost</t>
  </si>
  <si>
    <t xml:space="preserve">Saving vs current</t>
  </si>
  <si>
    <t xml:space="preserve">Total (items quoted)</t>
  </si>
  <si>
    <t xml:space="preserve">Items quoted</t>
  </si>
  <si>
    <t xml:space="preserve">Weighted score (only suppliers that quoted every item are eligible for a single award)</t>
  </si>
  <si>
    <t xml:space="preserve">Landed total</t>
  </si>
  <si>
    <t xml:space="preserve">Price score</t>
  </si>
  <si>
    <t xml:space="preserve">Lead-time score</t>
  </si>
  <si>
    <t xml:space="preserve">Compliance</t>
  </si>
  <si>
    <t xml:space="preserve">Compliance score</t>
  </si>
  <si>
    <t xml:space="preserve">Track record</t>
  </si>
  <si>
    <t xml:space="preserve">Track score</t>
  </si>
  <si>
    <t xml:space="preserve">Weighted total</t>
  </si>
  <si>
    <t xml:space="preserve">Eligible</t>
  </si>
  <si>
    <t xml:space="preserve">Setup</t>
  </si>
  <si>
    <t xml:space="preserve">Tender details, items, suppliers and scoring weights. Blue = type here; yellow = weights and budget.</t>
  </si>
  <si>
    <t xml:space="preserve">Tender name</t>
  </si>
  <si>
    <t xml:space="preserve">Surgical consumables — annual supply 2027</t>
  </si>
  <si>
    <t xml:space="preserve">Sample Hospital Group</t>
  </si>
  <si>
    <t xml:space="preserve">Currency</t>
  </si>
  <si>
    <t xml:space="preserve">USD</t>
  </si>
  <si>
    <t xml:space="preserve">Budget (total, USD)</t>
  </si>
  <si>
    <t xml:space="preserve">Scoring weights (must total 100%)</t>
  </si>
  <si>
    <t xml:space="preserve">Price (landed cost)</t>
  </si>
  <si>
    <t xml:space="preserve">Lead time</t>
  </si>
  <si>
    <t xml:space="preserve">Total</t>
  </si>
  <si>
    <t xml:space="preserve">Suppliers</t>
  </si>
  <si>
    <t xml:space="preserve">Supplier 1</t>
  </si>
  <si>
    <t xml:space="preserve">MedSupply Gulf FZE</t>
  </si>
  <si>
    <t xml:space="preserve">Supplier 2</t>
  </si>
  <si>
    <t xml:space="preserve">Shanghai Medtech Co.</t>
  </si>
  <si>
    <t xml:space="preserve">Supplier 3</t>
  </si>
  <si>
    <t xml:space="preserve">Premier Surgical LLC</t>
  </si>
  <si>
    <t xml:space="preserve">Supplier 4</t>
  </si>
  <si>
    <t xml:space="preserve">Lion City Medical Pte</t>
  </si>
  <si>
    <t xml:space="preserve">Supplier 5</t>
  </si>
  <si>
    <t xml:space="preserve">Bharat Surgicals Ltd</t>
  </si>
  <si>
    <t xml:space="preserve">Supplier 6</t>
  </si>
  <si>
    <t xml:space="preserve">Items</t>
  </si>
  <si>
    <t xml:space="preserve">Item description</t>
  </si>
  <si>
    <t xml:space="preserve">Unit</t>
  </si>
  <si>
    <t xml:space="preserve">Annual qty</t>
  </si>
  <si>
    <t xml:space="preserve">Current price (USD)</t>
  </si>
  <si>
    <t xml:space="preserve">Nitrile examination gloves, M (box of 100)</t>
  </si>
  <si>
    <t xml:space="preserve">box</t>
  </si>
  <si>
    <t xml:space="preserve">Surgical mask 3-ply, ear loop (box of 50)</t>
  </si>
  <si>
    <t xml:space="preserve">Syringe 5 ml luer lock (box of 100)</t>
  </si>
  <si>
    <t xml:space="preserve">IV cannula 20G with wings (box of 50)</t>
  </si>
  <si>
    <t xml:space="preserve">Surgical gown, sterile, L (pack of 10)</t>
  </si>
  <si>
    <t xml:space="preserve">pack</t>
  </si>
  <si>
    <t xml:space="preserve">Suture, absorbable 3-0, 75 cm (box of 12)</t>
  </si>
  <si>
    <t xml:space="preserve">Foley catheter 16Fr silicone (each)</t>
  </si>
  <si>
    <t xml:space="preserve">each</t>
  </si>
  <si>
    <t xml:space="preserve">Sterile gauze swabs 10×10 cm (pack of 100)</t>
  </si>
  <si>
    <t xml:space="preserve">Surgical blade #11 (box of 100)</t>
  </si>
  <si>
    <t xml:space="preserve">Alcohol swabs (box of 200)</t>
  </si>
  <si>
    <t xml:space="preserve">Supplier info</t>
  </si>
  <si>
    <t xml:space="preserve">Per-supplier terms and compliance. Compliance score = share of "Yes" answers; track record 1–5.</t>
  </si>
  <si>
    <t xml:space="preserve">Quote validity (days)</t>
  </si>
  <si>
    <t xml:space="preserve">Payment terms</t>
  </si>
  <si>
    <t xml:space="preserve">Incoterm</t>
  </si>
  <si>
    <t xml:space="preserve">Licence valid</t>
  </si>
  <si>
    <t xml:space="preserve">ISO 13485 / GMP</t>
  </si>
  <si>
    <t xml:space="preserve">Product registrations</t>
  </si>
  <si>
    <t xml:space="preserve">Samples provided</t>
  </si>
  <si>
    <t xml:space="preserve">Track record (1–5)</t>
  </si>
  <si>
    <t xml:space="preserve">30 days</t>
  </si>
  <si>
    <t xml:space="preserve">DAP</t>
  </si>
  <si>
    <t xml:space="preserve">Yes</t>
  </si>
  <si>
    <t xml:space="preserve">30% advance</t>
  </si>
  <si>
    <t xml:space="preserve">FOB</t>
  </si>
  <si>
    <t xml:space="preserve">No</t>
  </si>
  <si>
    <t xml:space="preserve">60 days</t>
  </si>
  <si>
    <t xml:space="preserve">45 days</t>
  </si>
  <si>
    <t xml:space="preserve">CIF</t>
  </si>
  <si>
    <t xml:space="preserve">Quotes</t>
  </si>
  <si>
    <t xml:space="preserve">Unit price and landed-cost add-ons per supplier and item (USD per unit). Leave blank if a supplier did not quote an item.</t>
  </si>
  <si>
    <t xml:space="preserve">Unit price</t>
  </si>
  <si>
    <t xml:space="preserve">Freight /unit</t>
  </si>
  <si>
    <t xml:space="preserve">Duties &amp; other /unit</t>
  </si>
  <si>
    <t xml:space="preserve">Landed /unit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</si>
</sst>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dd\-mmm\-yyyy"/>
    <numFmt numFmtId="166" formatCode="#,##0"/>
    <numFmt numFmtId="167" formatCode="0.0%"/>
    <numFmt numFmtId="168" formatCode="@"/>
    <numFmt numFmtId="169" formatCode="0.0"/>
    <numFmt numFmtId="170" formatCode="#,##0;\(#,##0\);\-"/>
    <numFmt numFmtId="171" formatCode="0%"/>
    <numFmt numFmtId="172" formatCode="General"/>
    <numFmt numFmtId="173" formatCode="#,##0.00"/>
  </numFmts>
  <fonts count="3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color rgb="FFFF6B00"/>
      <name val="Arial"/>
      <family val="0"/>
      <charset val="1"/>
    </font>
    <font>
      <b val="true"/>
      <sz val="26"/>
      <color rgb="FFFFFFFF"/>
      <name val="Arial"/>
      <family val="0"/>
      <charset val="1"/>
    </font>
    <font>
      <sz val="11"/>
      <color rgb="FFD6D2CB"/>
      <name val="Arial"/>
      <family val="0"/>
      <charset val="1"/>
    </font>
    <font>
      <sz val="9"/>
      <color rgb="FFA8A39B"/>
      <name val="Arial"/>
      <family val="0"/>
      <charset val="1"/>
    </font>
    <font>
      <b val="true"/>
      <sz val="13"/>
      <color rgb="FF0B0B0B"/>
      <name val="Arial"/>
      <family val="0"/>
      <charset val="1"/>
    </font>
    <font>
      <b val="true"/>
      <sz val="20"/>
      <color rgb="FFFF6B00"/>
      <name val="Arial"/>
      <family val="0"/>
      <charset val="1"/>
    </font>
    <font>
      <b val="true"/>
      <sz val="11"/>
      <color rgb="FF0B0B0B"/>
      <name val="Arial"/>
      <family val="0"/>
      <charset val="1"/>
    </font>
    <font>
      <sz val="10"/>
      <color rgb="FF3A3732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b val="true"/>
      <sz val="11"/>
      <name val="Arial"/>
      <family val="0"/>
      <charset val="1"/>
    </font>
    <font>
      <sz val="9"/>
      <color rgb="FF7A766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8"/>
      <color rgb="FF7A766F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sz val="10"/>
      <color rgb="FFFF6B0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8"/>
      <color rgb="FF7A766F"/>
      <name val="Arial"/>
      <family val="0"/>
      <charset val="1"/>
    </font>
    <font>
      <b val="true"/>
      <sz val="16"/>
      <color rgb="FFC94F00"/>
      <name val="Arial"/>
      <family val="0"/>
      <charset val="1"/>
    </font>
    <font>
      <b val="true"/>
      <sz val="16"/>
      <color rgb="FF0B0B0B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8"/>
      <color rgb="FF0B0B0B"/>
      <name val="Arial"/>
      <family val="0"/>
      <charset val="1"/>
    </font>
    <font>
      <sz val="10"/>
      <color rgb="FF7A766F"/>
      <name val="Arial"/>
      <family val="0"/>
      <charset val="1"/>
    </font>
    <font>
      <b val="true"/>
      <sz val="10"/>
      <color rgb="FFC94F0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1"/>
      <color rgb="FFC94F00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0B0B0B"/>
        <bgColor rgb="FF000000"/>
      </patternFill>
    </fill>
    <fill>
      <patternFill patternType="solid">
        <fgColor rgb="FFFFFF00"/>
        <bgColor rgb="FFFFFF00"/>
      </patternFill>
    </fill>
    <fill>
      <patternFill patternType="solid">
        <fgColor rgb="FFFF6B00"/>
        <bgColor rgb="FFFF9900"/>
      </patternFill>
    </fill>
    <fill>
      <patternFill patternType="solid">
        <fgColor rgb="FFFFF1E6"/>
        <bgColor rgb="FFF6F3EE"/>
      </patternFill>
    </fill>
    <fill>
      <patternFill patternType="solid">
        <fgColor rgb="FFF6F3EE"/>
        <bgColor rgb="FFFFF1E6"/>
      </patternFill>
    </fill>
    <fill>
      <patternFill patternType="solid">
        <fgColor rgb="FFC94F00"/>
        <bgColor rgb="FFFF6B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6E1D8"/>
      </left>
      <right style="thin">
        <color rgb="FFE6E1D8"/>
      </right>
      <top style="thin">
        <color rgb="FFE6E1D8"/>
      </top>
      <bottom style="thin">
        <color rgb="FFE6E1D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21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22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22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21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22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2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2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25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25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4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2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3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5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31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9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25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9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2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2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25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3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1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2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6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6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26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4" fillId="4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4" fillId="7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3" fontId="25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C94F00"/>
      </font>
      <fill>
        <patternFill>
          <bgColor rgb="FFFFF1E6"/>
        </patternFill>
      </fill>
    </dxf>
    <dxf>
      <font>
        <name val="Arial"/>
        <charset val="1"/>
        <family val="0"/>
        <b val="1"/>
        <color rgb="FFFFFFFF"/>
      </font>
      <fill>
        <patternFill>
          <bgColor rgb="FF0B0B0B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6D2CB"/>
      <rgbColor rgb="FF878787"/>
      <rgbColor rgb="FF9999FF"/>
      <rgbColor rgb="FF993366"/>
      <rgbColor rgb="FFFFF1E6"/>
      <rgbColor rgb="FFF9F9F9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6F3EE"/>
      <rgbColor rgb="FFE6E1D8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B00"/>
      <rgbColor rgb="FF7A766F"/>
      <rgbColor rgb="FFA8A39B"/>
      <rgbColor rgb="FF003366"/>
      <rgbColor rgb="FF339966"/>
      <rgbColor rgb="FF0B0B0B"/>
      <rgbColor rgb="FF333300"/>
      <rgbColor rgb="FFC94F00"/>
      <rgbColor rgb="FF993366"/>
      <rgbColor rgb="FF333399"/>
      <rgbColor rgb="FF3A373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Landed total by supplier (USD)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'Award Pack'!C17</c:f>
              <c:strCache>
                <c:ptCount val="1"/>
                <c:pt idx="0">
                  <c:v>Landed total (USD)</c:v>
                </c:pt>
              </c:strCache>
            </c:strRef>
          </c:tx>
          <c:spPr>
            <a:solidFill>
              <a:srgbClr val="ff6b00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'Award Pack'!$B$18:$B$23</c:f>
              <c:strCache>
                <c:ptCount val="6"/>
                <c:pt idx="0">
                  <c:v>MedSupply Gulf FZE</c:v>
                </c:pt>
                <c:pt idx="1">
                  <c:v>Shanghai Medtech Co.</c:v>
                </c:pt>
                <c:pt idx="2">
                  <c:v>Premier Surgical LLC</c:v>
                </c:pt>
                <c:pt idx="3">
                  <c:v>Lion City Medical Pte</c:v>
                </c:pt>
                <c:pt idx="4">
                  <c:v>Bharat Surgicals Ltd</c:v>
                </c:pt>
                <c:pt idx="5">
                  <c:v/>
                </c:pt>
              </c:strCache>
            </c:strRef>
          </c:cat>
          <c:val>
            <c:numRef>
              <c:f>'Award Pack'!$C$18:$C$23</c:f>
              <c:numCache>
                <c:formatCode>#,##0;\(#,##0\);\-</c:formatCode>
                <c:ptCount val="6"/>
                <c:pt idx="0">
                  <c:v>557785</c:v>
                </c:pt>
                <c:pt idx="1">
                  <c:v>543170</c:v>
                </c:pt>
                <c:pt idx="2">
                  <c:v>564015</c:v>
                </c:pt>
                <c:pt idx="3">
                  <c:v>563030</c:v>
                </c:pt>
                <c:pt idx="4">
                  <c:v>553640</c:v>
                </c:pt>
              </c:numCache>
            </c:numRef>
          </c:val>
        </c:ser>
        <c:gapWidth val="150"/>
        <c:overlap val="0"/>
        <c:axId val="82748065"/>
        <c:axId val="3360287"/>
      </c:barChart>
      <c:catAx>
        <c:axId val="8274806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360287"/>
        <c:crosses val="autoZero"/>
        <c:auto val="1"/>
        <c:lblAlgn val="ctr"/>
        <c:lblOffset val="100"/>
        <c:noMultiLvlLbl val="0"/>
      </c:catAx>
      <c:valAx>
        <c:axId val="336028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;\(#,##0\)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2748065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</xdr:row>
      <xdr:rowOff>0</xdr:rowOff>
    </xdr:from>
    <xdr:to>
      <xdr:col>1</xdr:col>
      <xdr:colOff>533160</xdr:colOff>
      <xdr:row>3</xdr:row>
      <xdr:rowOff>75960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211320" y="228600"/>
          <a:ext cx="533160" cy="5331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24</xdr:row>
      <xdr:rowOff>0</xdr:rowOff>
    </xdr:from>
    <xdr:to>
      <xdr:col>4</xdr:col>
      <xdr:colOff>825840</xdr:colOff>
      <xdr:row>38</xdr:row>
      <xdr:rowOff>32400</xdr:rowOff>
    </xdr:to>
    <xdr:graphicFrame>
      <xdr:nvGraphicFramePr>
        <xdr:cNvPr id="1" name="Chart 1"/>
        <xdr:cNvGraphicFramePr/>
      </xdr:nvGraphicFramePr>
      <xdr:xfrm>
        <a:off x="141120" y="5181480"/>
        <a:ext cx="575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0</xdr:colOff>
      <xdr:row>0</xdr:row>
      <xdr:rowOff>0</xdr:rowOff>
    </xdr:from>
    <xdr:to>
      <xdr:col>8</xdr:col>
      <xdr:colOff>392040</xdr:colOff>
      <xdr:row>1</xdr:row>
      <xdr:rowOff>257040</xdr:rowOff>
    </xdr:to>
    <xdr:pic>
      <xdr:nvPicPr>
        <xdr:cNvPr id="2" name="Image 2" descr="Picture"/>
        <xdr:cNvPicPr/>
      </xdr:nvPicPr>
      <xdr:blipFill>
        <a:blip r:embed="rId2"/>
        <a:stretch/>
      </xdr:blipFill>
      <xdr:spPr>
        <a:xfrm>
          <a:off x="10149840" y="0"/>
          <a:ext cx="533160" cy="5331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4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9" min="2" style="0" width="14"/>
    <col collapsed="false" customWidth="true" hidden="false" outlineLevel="0" max="10" min="10" style="0" width="3"/>
  </cols>
  <sheetData>
    <row r="1" customFormat="false" ht="18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</row>
    <row r="2" customFormat="false" ht="18" hidden="false" customHeight="tru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</row>
    <row r="3" customFormat="false" ht="18" hidden="false" customHeight="true" outlineLevel="0" collapsed="false">
      <c r="A3" s="1"/>
      <c r="B3" s="1"/>
      <c r="C3" s="1"/>
      <c r="D3" s="2" t="s">
        <v>0</v>
      </c>
      <c r="E3" s="1"/>
      <c r="F3" s="1"/>
      <c r="G3" s="1"/>
      <c r="H3" s="1"/>
      <c r="I3" s="1"/>
      <c r="J3" s="1"/>
    </row>
    <row r="4" customFormat="false" ht="18" hidden="false" customHeight="true" outlineLevel="0" collapsed="false">
      <c r="A4" s="1"/>
      <c r="B4" s="1"/>
      <c r="C4" s="1"/>
      <c r="D4" s="1"/>
      <c r="E4" s="1"/>
      <c r="F4" s="1"/>
      <c r="G4" s="1"/>
      <c r="H4" s="1"/>
      <c r="I4" s="1"/>
      <c r="J4" s="1"/>
    </row>
    <row r="5" customFormat="false" ht="36" hidden="false" customHeight="true" outlineLevel="0" collapsed="false">
      <c r="A5" s="1"/>
      <c r="B5" s="1"/>
      <c r="C5" s="1"/>
      <c r="D5" s="3" t="s">
        <v>1</v>
      </c>
      <c r="E5" s="1"/>
      <c r="F5" s="1"/>
      <c r="G5" s="1"/>
      <c r="H5" s="1"/>
      <c r="I5" s="1"/>
      <c r="J5" s="1"/>
    </row>
    <row r="6" customFormat="false" ht="18" hidden="false" customHeight="true" outlineLevel="0" collapsed="false">
      <c r="A6" s="1"/>
      <c r="B6" s="1"/>
      <c r="C6" s="1"/>
      <c r="D6" s="1"/>
      <c r="E6" s="1"/>
      <c r="F6" s="1"/>
      <c r="G6" s="1"/>
      <c r="H6" s="1"/>
      <c r="I6" s="1"/>
      <c r="J6" s="1"/>
    </row>
    <row r="7" customFormat="false" ht="18" hidden="false" customHeight="true" outlineLevel="0" collapsed="false">
      <c r="A7" s="1"/>
      <c r="B7" s="1"/>
      <c r="C7" s="1"/>
      <c r="D7" s="4" t="s">
        <v>2</v>
      </c>
      <c r="E7" s="1"/>
      <c r="F7" s="1"/>
      <c r="G7" s="1"/>
      <c r="H7" s="1"/>
      <c r="I7" s="1"/>
      <c r="J7" s="1"/>
    </row>
    <row r="8" customFormat="false" ht="18" hidden="false" customHeight="true" outlineLevel="0" collapsed="false">
      <c r="A8" s="1"/>
      <c r="B8" s="1"/>
      <c r="C8" s="1"/>
      <c r="D8" s="4" t="s">
        <v>3</v>
      </c>
      <c r="E8" s="1"/>
      <c r="F8" s="1"/>
      <c r="G8" s="1"/>
      <c r="H8" s="1"/>
      <c r="I8" s="1"/>
      <c r="J8" s="1"/>
    </row>
    <row r="9" customFormat="false" ht="18" hidden="false" customHeight="true" outlineLevel="0" collapsed="false">
      <c r="A9" s="1"/>
      <c r="B9" s="1"/>
      <c r="C9" s="1"/>
      <c r="D9" s="1"/>
      <c r="E9" s="1"/>
      <c r="F9" s="1"/>
      <c r="G9" s="1"/>
      <c r="H9" s="1"/>
      <c r="I9" s="1"/>
      <c r="J9" s="1"/>
    </row>
    <row r="10" customFormat="false" ht="18" hidden="false" customHeight="true" outlineLevel="0" collapsed="false">
      <c r="A10" s="1"/>
      <c r="B10" s="1"/>
      <c r="C10" s="1"/>
      <c r="D10" s="5" t="s">
        <v>4</v>
      </c>
      <c r="E10" s="1"/>
      <c r="F10" s="1"/>
      <c r="G10" s="1"/>
      <c r="H10" s="1"/>
      <c r="I10" s="1"/>
      <c r="J10" s="1"/>
    </row>
    <row r="11" customFormat="false" ht="18" hidden="false" customHeight="true" outlineLevel="0" collapsed="false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customFormat="false" ht="18" hidden="false" customHeight="true" outlineLevel="0" collapsed="false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customFormat="false" ht="18" hidden="false" customHeight="true" outlineLevel="0" collapsed="false"/>
    <row r="14" customFormat="false" ht="18" hidden="false" customHeight="true" outlineLevel="0" collapsed="false">
      <c r="B14" s="6" t="s">
        <v>5</v>
      </c>
    </row>
    <row r="15" customFormat="false" ht="18" hidden="false" customHeight="true" outlineLevel="0" collapsed="false"/>
    <row r="16" customFormat="false" ht="18" hidden="false" customHeight="true" outlineLevel="0" collapsed="false">
      <c r="B16" s="7" t="s">
        <v>6</v>
      </c>
      <c r="C16" s="8" t="s">
        <v>7</v>
      </c>
    </row>
    <row r="17" customFormat="false" ht="18" hidden="false" customHeight="true" outlineLevel="0" collapsed="false">
      <c r="C17" s="9" t="s">
        <v>8</v>
      </c>
    </row>
    <row r="18" customFormat="false" ht="18" hidden="false" customHeight="true" outlineLevel="0" collapsed="false"/>
    <row r="19" customFormat="false" ht="18" hidden="false" customHeight="true" outlineLevel="0" collapsed="false">
      <c r="B19" s="7" t="s">
        <v>9</v>
      </c>
      <c r="C19" s="8" t="s">
        <v>10</v>
      </c>
    </row>
    <row r="20" customFormat="false" ht="18" hidden="false" customHeight="true" outlineLevel="0" collapsed="false">
      <c r="C20" s="9" t="s">
        <v>11</v>
      </c>
    </row>
    <row r="21" customFormat="false" ht="18" hidden="false" customHeight="true" outlineLevel="0" collapsed="false"/>
    <row r="22" customFormat="false" ht="18" hidden="false" customHeight="true" outlineLevel="0" collapsed="false">
      <c r="B22" s="7" t="s">
        <v>12</v>
      </c>
      <c r="C22" s="8" t="s">
        <v>13</v>
      </c>
    </row>
    <row r="23" customFormat="false" ht="18" hidden="false" customHeight="true" outlineLevel="0" collapsed="false">
      <c r="C23" s="9" t="s">
        <v>14</v>
      </c>
    </row>
    <row r="24" customFormat="false" ht="18" hidden="false" customHeight="true" outlineLevel="0" collapsed="false"/>
    <row r="25" customFormat="false" ht="18" hidden="false" customHeight="true" outlineLevel="0" collapsed="false">
      <c r="B25" s="7" t="s">
        <v>15</v>
      </c>
      <c r="C25" s="8" t="s">
        <v>16</v>
      </c>
    </row>
    <row r="26" customFormat="false" ht="18" hidden="false" customHeight="true" outlineLevel="0" collapsed="false">
      <c r="C26" s="9" t="s">
        <v>17</v>
      </c>
    </row>
    <row r="27" customFormat="false" ht="18" hidden="false" customHeight="true" outlineLevel="0" collapsed="false"/>
    <row r="28" customFormat="false" ht="18" hidden="false" customHeight="true" outlineLevel="0" collapsed="false"/>
    <row r="29" customFormat="false" ht="18" hidden="false" customHeight="true" outlineLevel="0" collapsed="false">
      <c r="B29" s="6" t="s">
        <v>18</v>
      </c>
    </row>
    <row r="30" customFormat="false" ht="18" hidden="false" customHeight="true" outlineLevel="0" collapsed="false">
      <c r="B30" s="10" t="s">
        <v>19</v>
      </c>
      <c r="C30" s="9" t="s">
        <v>20</v>
      </c>
    </row>
    <row r="31" customFormat="false" ht="18" hidden="false" customHeight="true" outlineLevel="0" collapsed="false">
      <c r="B31" s="11" t="s">
        <v>21</v>
      </c>
      <c r="C31" s="9" t="s">
        <v>22</v>
      </c>
    </row>
    <row r="32" customFormat="false" ht="18" hidden="false" customHeight="true" outlineLevel="0" collapsed="false">
      <c r="B32" s="12" t="s">
        <v>23</v>
      </c>
      <c r="C32" s="9" t="s">
        <v>24</v>
      </c>
    </row>
    <row r="33" customFormat="false" ht="18" hidden="false" customHeight="true" outlineLevel="0" collapsed="false"/>
    <row r="34" customFormat="false" ht="18" hidden="false" customHeight="true" outlineLevel="0" collapsed="false">
      <c r="B34" s="13" t="s">
        <v>25</v>
      </c>
    </row>
    <row r="35" customFormat="false" ht="18" hidden="false" customHeight="true" outlineLevel="0" collapsed="false"/>
    <row r="36" customFormat="false" ht="18" hidden="false" customHeight="true" outlineLevel="0" collapsed="false">
      <c r="A36" s="14"/>
      <c r="B36" s="14"/>
      <c r="C36" s="14"/>
      <c r="D36" s="14"/>
      <c r="E36" s="14"/>
      <c r="F36" s="14"/>
      <c r="G36" s="14"/>
      <c r="H36" s="14"/>
      <c r="I36" s="14"/>
      <c r="J36" s="14"/>
    </row>
    <row r="37" customFormat="false" ht="18" hidden="false" customHeight="true" outlineLevel="0" collapsed="false">
      <c r="A37" s="14"/>
      <c r="B37" s="15" t="s">
        <v>26</v>
      </c>
      <c r="C37" s="14"/>
      <c r="D37" s="14"/>
      <c r="E37" s="14"/>
      <c r="F37" s="14"/>
      <c r="G37" s="14"/>
      <c r="H37" s="14"/>
      <c r="I37" s="14"/>
      <c r="J37" s="14"/>
    </row>
    <row r="38" customFormat="false" ht="18" hidden="false" customHeight="true" outlineLevel="0" collapsed="false">
      <c r="A38" s="14"/>
      <c r="B38" s="14"/>
      <c r="C38" s="14"/>
      <c r="D38" s="14"/>
      <c r="E38" s="14"/>
      <c r="F38" s="14"/>
      <c r="G38" s="14"/>
      <c r="H38" s="14"/>
      <c r="I38" s="14"/>
      <c r="J38" s="14"/>
    </row>
    <row r="39" customFormat="false" ht="18" hidden="false" customHeight="true" outlineLevel="0" collapsed="false">
      <c r="B39" s="16" t="s">
        <v>27</v>
      </c>
    </row>
    <row r="40" customFormat="false" ht="18" hidden="false" customHeight="true" outlineLevel="0" collapsed="false"/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4"/>
    <col collapsed="false" customWidth="true" hidden="false" outlineLevel="0" max="4" min="3" style="0" width="18"/>
    <col collapsed="false" customWidth="true" hidden="false" outlineLevel="0" max="7" min="5" style="0" width="24"/>
    <col collapsed="false" customWidth="true" hidden="false" outlineLevel="0" max="8" min="8" style="0" width="2"/>
  </cols>
  <sheetData>
    <row r="1" customFormat="false" ht="21.75" hidden="false" customHeight="true" outlineLevel="0" collapsed="false">
      <c r="A1" s="1"/>
      <c r="B1" s="17" t="s">
        <v>28</v>
      </c>
      <c r="C1" s="1"/>
      <c r="D1" s="1"/>
      <c r="E1" s="1"/>
      <c r="F1" s="1"/>
      <c r="G1" s="1"/>
      <c r="H1" s="1"/>
    </row>
    <row r="2" customFormat="false" ht="21.75" hidden="false" customHeight="true" outlineLevel="0" collapsed="false">
      <c r="A2" s="1"/>
      <c r="B2" s="18" t="str">
        <f aca="false">Setup!B4</f>
        <v>Surgical consumables — annual supply 2027</v>
      </c>
      <c r="C2" s="1"/>
      <c r="D2" s="1"/>
      <c r="E2" s="1"/>
      <c r="F2" s="1"/>
      <c r="G2" s="1"/>
      <c r="H2" s="1"/>
    </row>
    <row r="4" customFormat="false" ht="15" hidden="false" customHeight="false" outlineLevel="0" collapsed="false">
      <c r="B4" s="9" t="s">
        <v>29</v>
      </c>
      <c r="C4" s="19" t="str">
        <f aca="false">Setup!B5</f>
        <v>Sample Hospital Group</v>
      </c>
    </row>
    <row r="5" customFormat="false" ht="15" hidden="false" customHeight="false" outlineLevel="0" collapsed="false">
      <c r="B5" s="9" t="s">
        <v>30</v>
      </c>
      <c r="C5" s="20" t="n">
        <f aca="false">Setup!B7</f>
        <v>46356</v>
      </c>
    </row>
    <row r="6" customFormat="false" ht="15" hidden="false" customHeight="false" outlineLevel="0" collapsed="false">
      <c r="B6" s="9" t="s">
        <v>31</v>
      </c>
      <c r="C6" s="19" t="str">
        <f aca="false">Setup!C15</f>
        <v>OK</v>
      </c>
    </row>
    <row r="8" customFormat="false" ht="15" hidden="false" customHeight="false" outlineLevel="0" collapsed="false">
      <c r="B8" s="21" t="s">
        <v>32</v>
      </c>
      <c r="C8" s="22"/>
      <c r="D8" s="23" t="s">
        <v>33</v>
      </c>
      <c r="E8" s="24"/>
      <c r="F8" s="23" t="s">
        <v>34</v>
      </c>
      <c r="G8" s="23" t="s">
        <v>35</v>
      </c>
    </row>
    <row r="9" customFormat="false" ht="24" hidden="false" customHeight="true" outlineLevel="0" collapsed="false">
      <c r="B9" s="25" t="n">
        <f aca="false">Setup!B8</f>
        <v>520000</v>
      </c>
      <c r="C9" s="22"/>
      <c r="D9" s="26" t="n">
        <f aca="false">Comparison!L15</f>
        <v>550150</v>
      </c>
      <c r="E9" s="24"/>
      <c r="F9" s="26" t="n">
        <f aca="false">Comparison!J15</f>
        <v>496705</v>
      </c>
      <c r="G9" s="27" t="n">
        <f aca="false">IF(Comparison!L15=0,0,1-Comparison!J15/Comparison!L15)</f>
        <v>0.0971462328455875</v>
      </c>
    </row>
    <row r="10" customFormat="false" ht="15" hidden="false" customHeight="false" outlineLevel="0" collapsed="false">
      <c r="B10" s="22"/>
      <c r="C10" s="22"/>
      <c r="D10" s="24"/>
      <c r="E10" s="24"/>
      <c r="F10" s="24"/>
      <c r="G10" s="24"/>
    </row>
    <row r="12" customFormat="false" ht="15" hidden="false" customHeight="false" outlineLevel="0" collapsed="false">
      <c r="B12" s="21" t="s">
        <v>36</v>
      </c>
      <c r="C12" s="22"/>
      <c r="D12" s="23" t="s">
        <v>37</v>
      </c>
      <c r="E12" s="24"/>
      <c r="F12" s="23" t="s">
        <v>38</v>
      </c>
      <c r="G12" s="23" t="s">
        <v>39</v>
      </c>
    </row>
    <row r="13" customFormat="false" ht="24" hidden="false" customHeight="true" outlineLevel="0" collapsed="false">
      <c r="B13" s="28" t="str">
        <f aca="false">IFERROR(INDEX(Comparison!A20:A25,MATCH(1,Comparison!K20:K25,0)),"—")</f>
        <v>Premier Surgical LLC</v>
      </c>
      <c r="C13" s="22"/>
      <c r="D13" s="26" t="n">
        <f aca="false">IFERROR(INDEX(Comparison!B20:B25,MATCH(1,Comparison!K20:K25,0)),0)</f>
        <v>564015</v>
      </c>
      <c r="E13" s="24"/>
      <c r="F13" s="29" t="n">
        <f aca="false">IFERROR(INDEX(Comparison!J20:J25,MATCH(1,Comparison!K20:K25,0)),0)</f>
        <v>92.9672969690523</v>
      </c>
      <c r="G13" s="27" t="n">
        <f aca="false">IF(Setup!B8=0,0,IFERROR(INDEX(Comparison!B20:B25,MATCH(1,Comparison!K20:K25,0)),0)/Setup!B8-1)</f>
        <v>0.0846442307692308</v>
      </c>
    </row>
    <row r="14" customFormat="false" ht="15" hidden="false" customHeight="false" outlineLevel="0" collapsed="false">
      <c r="B14" s="22"/>
      <c r="C14" s="22"/>
      <c r="D14" s="24"/>
      <c r="E14" s="24"/>
      <c r="F14" s="24"/>
      <c r="G14" s="24"/>
    </row>
    <row r="16" customFormat="false" ht="15" hidden="false" customHeight="false" outlineLevel="0" collapsed="false">
      <c r="B16" s="30" t="s">
        <v>40</v>
      </c>
    </row>
    <row r="17" customFormat="false" ht="31.5" hidden="false" customHeight="true" outlineLevel="0" collapsed="false">
      <c r="B17" s="31" t="s">
        <v>41</v>
      </c>
      <c r="C17" s="32" t="s">
        <v>42</v>
      </c>
      <c r="D17" s="32" t="s">
        <v>43</v>
      </c>
      <c r="E17" s="32" t="s">
        <v>44</v>
      </c>
      <c r="F17" s="32" t="s">
        <v>45</v>
      </c>
      <c r="G17" s="32" t="s">
        <v>46</v>
      </c>
    </row>
    <row r="18" customFormat="false" ht="15" hidden="false" customHeight="false" outlineLevel="0" collapsed="false">
      <c r="B18" s="33" t="str">
        <f aca="false">Comparison!A20</f>
        <v>MedSupply Gulf FZE</v>
      </c>
      <c r="C18" s="34" t="n">
        <f aca="false">Comparison!B20</f>
        <v>557785</v>
      </c>
      <c r="D18" s="35" t="n">
        <f aca="false">Comparison!J20</f>
        <v>91.5588981417571</v>
      </c>
      <c r="E18" s="33" t="n">
        <f aca="false">Comparison!K20</f>
        <v>2</v>
      </c>
      <c r="F18" s="33" t="str">
        <f aca="false">Comparison!L20</f>
        <v>Yes</v>
      </c>
      <c r="G18" s="33" t="n">
        <f aca="false">Comparison!D20</f>
        <v>21</v>
      </c>
    </row>
    <row r="19" customFormat="false" ht="15" hidden="false" customHeight="false" outlineLevel="0" collapsed="false">
      <c r="B19" s="36" t="str">
        <f aca="false">Comparison!A21</f>
        <v>Shanghai Medtech Co.</v>
      </c>
      <c r="C19" s="37" t="n">
        <f aca="false">Comparison!B21</f>
        <v>543170</v>
      </c>
      <c r="D19" s="38" t="str">
        <f aca="false">Comparison!J21</f>
        <v/>
      </c>
      <c r="E19" s="36" t="str">
        <f aca="false">Comparison!K21</f>
        <v/>
      </c>
      <c r="F19" s="36" t="str">
        <f aca="false">Comparison!L21</f>
        <v>No</v>
      </c>
      <c r="G19" s="36" t="n">
        <f aca="false">Comparison!D21</f>
        <v>45</v>
      </c>
    </row>
    <row r="20" customFormat="false" ht="15" hidden="false" customHeight="false" outlineLevel="0" collapsed="false">
      <c r="B20" s="33" t="str">
        <f aca="false">Comparison!A22</f>
        <v>Premier Surgical LLC</v>
      </c>
      <c r="C20" s="34" t="n">
        <f aca="false">Comparison!B22</f>
        <v>564015</v>
      </c>
      <c r="D20" s="35" t="n">
        <f aca="false">Comparison!J22</f>
        <v>92.9672969690523</v>
      </c>
      <c r="E20" s="33" t="n">
        <f aca="false">Comparison!K22</f>
        <v>1</v>
      </c>
      <c r="F20" s="33" t="str">
        <f aca="false">Comparison!L22</f>
        <v>Yes</v>
      </c>
      <c r="G20" s="33" t="n">
        <f aca="false">Comparison!D22</f>
        <v>14</v>
      </c>
    </row>
    <row r="21" customFormat="false" ht="15" hidden="false" customHeight="false" outlineLevel="0" collapsed="false">
      <c r="B21" s="36" t="str">
        <f aca="false">Comparison!A23</f>
        <v>Lion City Medical Pte</v>
      </c>
      <c r="C21" s="37" t="n">
        <f aca="false">Comparison!B23</f>
        <v>563030</v>
      </c>
      <c r="D21" s="38" t="n">
        <f aca="false">Comparison!J23</f>
        <v>81.0599612809264</v>
      </c>
      <c r="E21" s="36" t="n">
        <f aca="false">Comparison!K23</f>
        <v>4</v>
      </c>
      <c r="F21" s="36" t="str">
        <f aca="false">Comparison!L23</f>
        <v>Yes</v>
      </c>
      <c r="G21" s="36" t="n">
        <f aca="false">Comparison!D23</f>
        <v>30</v>
      </c>
    </row>
    <row r="22" customFormat="false" ht="15" hidden="false" customHeight="false" outlineLevel="0" collapsed="false">
      <c r="B22" s="33" t="str">
        <f aca="false">Comparison!A24</f>
        <v>Bharat Surgicals Ltd</v>
      </c>
      <c r="C22" s="34" t="n">
        <f aca="false">Comparison!B24</f>
        <v>553640</v>
      </c>
      <c r="D22" s="35" t="n">
        <f aca="false">Comparison!J24</f>
        <v>87.9598836789249</v>
      </c>
      <c r="E22" s="33" t="n">
        <f aca="false">Comparison!K24</f>
        <v>3</v>
      </c>
      <c r="F22" s="33" t="str">
        <f aca="false">Comparison!L24</f>
        <v>Yes</v>
      </c>
      <c r="G22" s="33" t="n">
        <f aca="false">Comparison!D24</f>
        <v>35</v>
      </c>
    </row>
    <row r="23" customFormat="false" ht="15" hidden="false" customHeight="false" outlineLevel="0" collapsed="false">
      <c r="B23" s="36" t="str">
        <f aca="false">Comparison!A25</f>
        <v/>
      </c>
      <c r="C23" s="37" t="str">
        <f aca="false">Comparison!B25</f>
        <v/>
      </c>
      <c r="D23" s="38" t="str">
        <f aca="false">Comparison!J25</f>
        <v/>
      </c>
      <c r="E23" s="36" t="str">
        <f aca="false">Comparison!K25</f>
        <v/>
      </c>
      <c r="F23" s="36" t="str">
        <f aca="false">Comparison!L25</f>
        <v/>
      </c>
      <c r="G23" s="36" t="str">
        <f aca="false">Comparison!D25</f>
        <v/>
      </c>
    </row>
    <row r="41" customFormat="false" ht="15" hidden="false" customHeight="false" outlineLevel="0" collapsed="false">
      <c r="B41" s="19" t="s">
        <v>47</v>
      </c>
    </row>
    <row r="42" customFormat="false" ht="15" hidden="false" customHeight="true" outlineLevel="0" collapsed="false">
      <c r="B42" s="39" t="s">
        <v>48</v>
      </c>
      <c r="C42" s="39"/>
      <c r="D42" s="39"/>
      <c r="E42" s="39"/>
      <c r="F42" s="39"/>
      <c r="G42" s="39"/>
    </row>
    <row r="43" customFormat="false" ht="15" hidden="false" customHeight="false" outlineLevel="0" collapsed="false">
      <c r="B43" s="39"/>
      <c r="C43" s="39"/>
      <c r="D43" s="39"/>
      <c r="E43" s="39"/>
      <c r="F43" s="39"/>
      <c r="G43" s="39"/>
    </row>
    <row r="44" customFormat="false" ht="15" hidden="false" customHeight="false" outlineLevel="0" collapsed="false">
      <c r="B44" s="39"/>
      <c r="C44" s="39"/>
      <c r="D44" s="39"/>
      <c r="E44" s="39"/>
      <c r="F44" s="39"/>
      <c r="G44" s="39"/>
    </row>
    <row r="46" customFormat="false" ht="15" hidden="false" customHeight="false" outlineLevel="0" collapsed="false">
      <c r="B46" s="9" t="s">
        <v>49</v>
      </c>
    </row>
    <row r="48" customFormat="false" ht="21.75" hidden="false" customHeight="true" outlineLevel="0" collapsed="false">
      <c r="A48" s="14"/>
      <c r="B48" s="40" t="s">
        <v>50</v>
      </c>
      <c r="C48" s="14"/>
      <c r="D48" s="14"/>
      <c r="E48" s="14"/>
      <c r="F48" s="14"/>
      <c r="G48" s="14"/>
      <c r="H48" s="14"/>
    </row>
  </sheetData>
  <mergeCells count="1">
    <mergeCell ref="B42:G4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40"/>
    <col collapsed="false" customWidth="true" hidden="false" outlineLevel="0" max="3" min="3" style="0" width="9"/>
    <col collapsed="false" customWidth="true" hidden="false" outlineLevel="0" max="10" min="4" style="0" width="16"/>
    <col collapsed="false" customWidth="true" hidden="false" outlineLevel="0" max="11" min="11" style="0" width="22"/>
    <col collapsed="false" customWidth="true" hidden="false" outlineLevel="0" max="12" min="12" style="0" width="14"/>
    <col collapsed="false" customWidth="true" hidden="false" outlineLevel="0" max="13" min="13" style="0" width="16"/>
  </cols>
  <sheetData>
    <row r="1" customFormat="false" ht="22.05" hidden="false" customHeight="false" outlineLevel="0" collapsed="false">
      <c r="A1" s="41" t="s">
        <v>51</v>
      </c>
    </row>
    <row r="2" customFormat="false" ht="15" hidden="false" customHeight="false" outlineLevel="0" collapsed="false">
      <c r="A2" s="42" t="s">
        <v>52</v>
      </c>
    </row>
    <row r="4" customFormat="false" ht="31.5" hidden="false" customHeight="true" outlineLevel="0" collapsed="false">
      <c r="A4" s="31" t="s">
        <v>53</v>
      </c>
      <c r="B4" s="32" t="s">
        <v>54</v>
      </c>
      <c r="C4" s="32" t="s">
        <v>55</v>
      </c>
      <c r="D4" s="32" t="str">
        <f aca="false">IF(Setup!B18="","Supplier 1",Setup!B18)</f>
        <v>MedSupply Gulf FZE</v>
      </c>
      <c r="E4" s="32" t="str">
        <f aca="false">IF(Setup!B19="","Supplier 2",Setup!B19)</f>
        <v>Shanghai Medtech Co.</v>
      </c>
      <c r="F4" s="32" t="str">
        <f aca="false">IF(Setup!B20="","Supplier 3",Setup!B20)</f>
        <v>Premier Surgical LLC</v>
      </c>
      <c r="G4" s="32" t="str">
        <f aca="false">IF(Setup!B21="","Supplier 4",Setup!B21)</f>
        <v>Lion City Medical Pte</v>
      </c>
      <c r="H4" s="32" t="str">
        <f aca="false">IF(Setup!B22="","Supplier 5",Setup!B22)</f>
        <v>Bharat Surgicals Ltd</v>
      </c>
      <c r="I4" s="32" t="str">
        <f aca="false">IF(Setup!B23="","Supplier 6",Setup!B23)</f>
        <v>Supplier 6</v>
      </c>
      <c r="J4" s="32" t="s">
        <v>56</v>
      </c>
      <c r="K4" s="32" t="s">
        <v>57</v>
      </c>
      <c r="L4" s="32" t="s">
        <v>58</v>
      </c>
      <c r="M4" s="32" t="s">
        <v>59</v>
      </c>
    </row>
    <row r="5" customFormat="false" ht="15" hidden="false" customHeight="false" outlineLevel="0" collapsed="false">
      <c r="A5" s="33" t="n">
        <f aca="false">Setup!A27</f>
        <v>1</v>
      </c>
      <c r="B5" s="33" t="str">
        <f aca="false">Setup!B27</f>
        <v>Nitrile examination gloves, M (box of 100)</v>
      </c>
      <c r="C5" s="43" t="n">
        <f aca="false">Setup!D27</f>
        <v>12000</v>
      </c>
      <c r="D5" s="34" t="n">
        <f aca="false">IF(Quotes!G5="","",Quotes!G5*$C5)</f>
        <v>75240</v>
      </c>
      <c r="E5" s="34" t="n">
        <f aca="false">IF(Quotes!K5="","",Quotes!K5*$C5)</f>
        <v>70680</v>
      </c>
      <c r="F5" s="34" t="n">
        <f aca="false">IF(Quotes!O5="","",Quotes!O5*$C5)</f>
        <v>75240</v>
      </c>
      <c r="G5" s="34" t="n">
        <f aca="false">IF(Quotes!S5="","",Quotes!S5*$C5)</f>
        <v>70560</v>
      </c>
      <c r="H5" s="34" t="n">
        <f aca="false">IF(Quotes!W5="","",Quotes!W5*$C5)</f>
        <v>55440</v>
      </c>
      <c r="I5" s="34" t="str">
        <f aca="false">IF(Quotes!AA5="","",Quotes!AA5*$C5)</f>
        <v/>
      </c>
      <c r="J5" s="34" t="n">
        <f aca="false">IF(COUNT(D5:I5)=0,"",MIN(D5:I5))</f>
        <v>55440</v>
      </c>
      <c r="K5" s="44" t="str">
        <f aca="false">IF(J5="","",INDEX($D$4:$I$4,MATCH(J5,D5:I5,0)))</f>
        <v>Bharat Surgicals Ltd</v>
      </c>
      <c r="L5" s="34" t="n">
        <f aca="false">Setup!E27*C5</f>
        <v>66000</v>
      </c>
      <c r="M5" s="34" t="n">
        <f aca="false">IF(J5="","",L5-J5)</f>
        <v>10560</v>
      </c>
    </row>
    <row r="6" customFormat="false" ht="15" hidden="false" customHeight="false" outlineLevel="0" collapsed="false">
      <c r="A6" s="36" t="n">
        <f aca="false">Setup!A28</f>
        <v>2</v>
      </c>
      <c r="B6" s="36" t="str">
        <f aca="false">Setup!B28</f>
        <v>Surgical mask 3-ply, ear loop (box of 50)</v>
      </c>
      <c r="C6" s="45" t="n">
        <f aca="false">Setup!D28</f>
        <v>20000</v>
      </c>
      <c r="D6" s="37" t="n">
        <f aca="false">IF(Quotes!G6="","",Quotes!G6*$C6)</f>
        <v>50400</v>
      </c>
      <c r="E6" s="37" t="n">
        <f aca="false">IF(Quotes!K6="","",Quotes!K6*$C6)</f>
        <v>53600</v>
      </c>
      <c r="F6" s="37" t="n">
        <f aca="false">IF(Quotes!O6="","",Quotes!O6*$C6)</f>
        <v>54000</v>
      </c>
      <c r="G6" s="37" t="n">
        <f aca="false">IF(Quotes!S6="","",Quotes!S6*$C6)</f>
        <v>59800</v>
      </c>
      <c r="H6" s="37" t="n">
        <f aca="false">IF(Quotes!W6="","",Quotes!W6*$C6)</f>
        <v>52000</v>
      </c>
      <c r="I6" s="37" t="str">
        <f aca="false">IF(Quotes!AA6="","",Quotes!AA6*$C6)</f>
        <v/>
      </c>
      <c r="J6" s="37" t="n">
        <f aca="false">IF(COUNT(D6:I6)=0,"",MIN(D6:I6))</f>
        <v>50400</v>
      </c>
      <c r="K6" s="46" t="str">
        <f aca="false">IF(J6="","",INDEX($D$4:$I$4,MATCH(J6,D6:I6,0)))</f>
        <v>MedSupply Gulf FZE</v>
      </c>
      <c r="L6" s="37" t="n">
        <f aca="false">Setup!E28*C6</f>
        <v>52000</v>
      </c>
      <c r="M6" s="37" t="n">
        <f aca="false">IF(J6="","",L6-J6)</f>
        <v>1600</v>
      </c>
    </row>
    <row r="7" customFormat="false" ht="15" hidden="false" customHeight="false" outlineLevel="0" collapsed="false">
      <c r="A7" s="33" t="n">
        <f aca="false">Setup!A29</f>
        <v>3</v>
      </c>
      <c r="B7" s="33" t="str">
        <f aca="false">Setup!B29</f>
        <v>Syringe 5 ml luer lock (box of 100)</v>
      </c>
      <c r="C7" s="43" t="n">
        <f aca="false">Setup!D29</f>
        <v>6000</v>
      </c>
      <c r="D7" s="34" t="n">
        <f aca="false">IF(Quotes!G7="","",Quotes!G7*$C7)</f>
        <v>42660</v>
      </c>
      <c r="E7" s="34" t="n">
        <f aca="false">IF(Quotes!K7="","",Quotes!K7*$C7)</f>
        <v>53580</v>
      </c>
      <c r="F7" s="34" t="n">
        <f aca="false">IF(Quotes!O7="","",Quotes!O7*$C7)</f>
        <v>42660</v>
      </c>
      <c r="G7" s="34" t="n">
        <f aca="false">IF(Quotes!S7="","",Quotes!S7*$C7)</f>
        <v>39840</v>
      </c>
      <c r="H7" s="34" t="n">
        <f aca="false">IF(Quotes!W7="","",Quotes!W7*$C7)</f>
        <v>45060</v>
      </c>
      <c r="I7" s="34" t="str">
        <f aca="false">IF(Quotes!AA7="","",Quotes!AA7*$C7)</f>
        <v/>
      </c>
      <c r="J7" s="34" t="n">
        <f aca="false">IF(COUNT(D7:I7)=0,"",MIN(D7:I7))</f>
        <v>39840</v>
      </c>
      <c r="K7" s="44" t="str">
        <f aca="false">IF(J7="","",INDEX($D$4:$I$4,MATCH(J7,D7:I7,0)))</f>
        <v>Lion City Medical Pte</v>
      </c>
      <c r="L7" s="34" t="n">
        <f aca="false">Setup!E29*C7</f>
        <v>47400</v>
      </c>
      <c r="M7" s="34" t="n">
        <f aca="false">IF(J7="","",L7-J7)</f>
        <v>7560</v>
      </c>
    </row>
    <row r="8" customFormat="false" ht="15" hidden="false" customHeight="false" outlineLevel="0" collapsed="false">
      <c r="A8" s="36" t="n">
        <f aca="false">Setup!A30</f>
        <v>4</v>
      </c>
      <c r="B8" s="36" t="str">
        <f aca="false">Setup!B30</f>
        <v>IV cannula 20G with wings (box of 50)</v>
      </c>
      <c r="C8" s="45" t="n">
        <f aca="false">Setup!D30</f>
        <v>4000</v>
      </c>
      <c r="D8" s="37" t="n">
        <f aca="false">IF(Quotes!G8="","",Quotes!G8*$C8)</f>
        <v>90640</v>
      </c>
      <c r="E8" s="37" t="n">
        <f aca="false">IF(Quotes!K8="","",Quotes!K8*$C8)</f>
        <v>100320</v>
      </c>
      <c r="F8" s="37" t="n">
        <f aca="false">IF(Quotes!O8="","",Quotes!O8*$C8)</f>
        <v>82720</v>
      </c>
      <c r="G8" s="37" t="n">
        <f aca="false">IF(Quotes!S8="","",Quotes!S8*$C8)</f>
        <v>88880</v>
      </c>
      <c r="H8" s="37" t="n">
        <f aca="false">IF(Quotes!W8="","",Quotes!W8*$C8)</f>
        <v>85360</v>
      </c>
      <c r="I8" s="37" t="str">
        <f aca="false">IF(Quotes!AA8="","",Quotes!AA8*$C8)</f>
        <v/>
      </c>
      <c r="J8" s="37" t="n">
        <f aca="false">IF(COUNT(D8:I8)=0,"",MIN(D8:I8))</f>
        <v>82720</v>
      </c>
      <c r="K8" s="46" t="str">
        <f aca="false">IF(J8="","",INDEX($D$4:$I$4,MATCH(J8,D8:I8,0)))</f>
        <v>Premier Surgical LLC</v>
      </c>
      <c r="L8" s="37" t="n">
        <f aca="false">Setup!E30*C8</f>
        <v>88000</v>
      </c>
      <c r="M8" s="37" t="n">
        <f aca="false">IF(J8="","",L8-J8)</f>
        <v>5280</v>
      </c>
    </row>
    <row r="9" customFormat="false" ht="15" hidden="false" customHeight="false" outlineLevel="0" collapsed="false">
      <c r="A9" s="33" t="n">
        <f aca="false">Setup!A31</f>
        <v>5</v>
      </c>
      <c r="B9" s="33" t="str">
        <f aca="false">Setup!B31</f>
        <v>Surgical gown, sterile, L (pack of 10)</v>
      </c>
      <c r="C9" s="43" t="n">
        <f aca="false">Setup!D31</f>
        <v>3000</v>
      </c>
      <c r="D9" s="34" t="n">
        <f aca="false">IF(Quotes!G9="","",Quotes!G9*$C9)</f>
        <v>77280</v>
      </c>
      <c r="E9" s="34" t="n">
        <f aca="false">IF(Quotes!K9="","",Quotes!K9*$C9)</f>
        <v>88200</v>
      </c>
      <c r="F9" s="34" t="n">
        <f aca="false">IF(Quotes!O9="","",Quotes!O9*$C9)</f>
        <v>94080</v>
      </c>
      <c r="G9" s="34" t="n">
        <f aca="false">IF(Quotes!S9="","",Quotes!S9*$C9)</f>
        <v>99960</v>
      </c>
      <c r="H9" s="34" t="n">
        <f aca="false">IF(Quotes!W9="","",Quotes!W9*$C9)</f>
        <v>76440</v>
      </c>
      <c r="I9" s="34" t="str">
        <f aca="false">IF(Quotes!AA9="","",Quotes!AA9*$C9)</f>
        <v/>
      </c>
      <c r="J9" s="34" t="n">
        <f aca="false">IF(COUNT(D9:I9)=0,"",MIN(D9:I9))</f>
        <v>76440</v>
      </c>
      <c r="K9" s="44" t="str">
        <f aca="false">IF(J9="","",INDEX($D$4:$I$4,MATCH(J9,D9:I9,0)))</f>
        <v>Bharat Surgicals Ltd</v>
      </c>
      <c r="L9" s="34" t="n">
        <f aca="false">Setup!E31*C9</f>
        <v>84000</v>
      </c>
      <c r="M9" s="34" t="n">
        <f aca="false">IF(J9="","",L9-J9)</f>
        <v>7560</v>
      </c>
    </row>
    <row r="10" customFormat="false" ht="15" hidden="false" customHeight="false" outlineLevel="0" collapsed="false">
      <c r="A10" s="36" t="n">
        <f aca="false">Setup!A32</f>
        <v>6</v>
      </c>
      <c r="B10" s="36" t="str">
        <f aca="false">Setup!B32</f>
        <v>Suture, absorbable 3-0, 75 cm (box of 12)</v>
      </c>
      <c r="C10" s="45" t="n">
        <f aca="false">Setup!D32</f>
        <v>2500</v>
      </c>
      <c r="D10" s="37" t="n">
        <f aca="false">IF(Quotes!G10="","",Quotes!G10*$C10)</f>
        <v>120750</v>
      </c>
      <c r="E10" s="37" t="n">
        <f aca="false">IF(Quotes!K10="","",Quotes!K10*$C10)</f>
        <v>115000</v>
      </c>
      <c r="F10" s="37" t="n">
        <f aca="false">IF(Quotes!O10="","",Quotes!O10*$C10)</f>
        <v>118450</v>
      </c>
      <c r="G10" s="37" t="n">
        <f aca="false">IF(Quotes!S10="","",Quotes!S10*$C10)</f>
        <v>98900</v>
      </c>
      <c r="H10" s="37" t="n">
        <f aca="false">IF(Quotes!W10="","",Quotes!W10*$C10)</f>
        <v>134550</v>
      </c>
      <c r="I10" s="37" t="str">
        <f aca="false">IF(Quotes!AA10="","",Quotes!AA10*$C10)</f>
        <v/>
      </c>
      <c r="J10" s="37" t="n">
        <f aca="false">IF(COUNT(D10:I10)=0,"",MIN(D10:I10))</f>
        <v>98900</v>
      </c>
      <c r="K10" s="46" t="str">
        <f aca="false">IF(J10="","",INDEX($D$4:$I$4,MATCH(J10,D10:I10,0)))</f>
        <v>Lion City Medical Pte</v>
      </c>
      <c r="L10" s="37" t="n">
        <f aca="false">Setup!E32*C10</f>
        <v>115000</v>
      </c>
      <c r="M10" s="37" t="n">
        <f aca="false">IF(J10="","",L10-J10)</f>
        <v>16100</v>
      </c>
    </row>
    <row r="11" customFormat="false" ht="15" hidden="false" customHeight="false" outlineLevel="0" collapsed="false">
      <c r="A11" s="33" t="n">
        <f aca="false">Setup!A33</f>
        <v>7</v>
      </c>
      <c r="B11" s="33" t="str">
        <f aca="false">Setup!B33</f>
        <v>Foley catheter 16Fr silicone (each)</v>
      </c>
      <c r="C11" s="43" t="n">
        <f aca="false">Setup!D33</f>
        <v>8000</v>
      </c>
      <c r="D11" s="34" t="n">
        <f aca="false">IF(Quotes!G11="","",Quotes!G11*$C11)</f>
        <v>23760</v>
      </c>
      <c r="E11" s="34" t="n">
        <f aca="false">IF(Quotes!K11="","",Quotes!K11*$C11)</f>
        <v>26960</v>
      </c>
      <c r="F11" s="34" t="n">
        <f aca="false">IF(Quotes!O11="","",Quotes!O11*$C11)</f>
        <v>22000</v>
      </c>
      <c r="G11" s="34" t="n">
        <f aca="false">IF(Quotes!S11="","",Quotes!S11*$C11)</f>
        <v>30240</v>
      </c>
      <c r="H11" s="34" t="n">
        <f aca="false">IF(Quotes!W11="","",Quotes!W11*$C11)</f>
        <v>23040</v>
      </c>
      <c r="I11" s="34" t="str">
        <f aca="false">IF(Quotes!AA11="","",Quotes!AA11*$C11)</f>
        <v/>
      </c>
      <c r="J11" s="34" t="n">
        <f aca="false">IF(COUNT(D11:I11)=0,"",MIN(D11:I11))</f>
        <v>22000</v>
      </c>
      <c r="K11" s="44" t="str">
        <f aca="false">IF(J11="","",INDEX($D$4:$I$4,MATCH(J11,D11:I11,0)))</f>
        <v>Premier Surgical LLC</v>
      </c>
      <c r="L11" s="34" t="n">
        <f aca="false">Setup!E33*C11</f>
        <v>25600</v>
      </c>
      <c r="M11" s="34" t="n">
        <f aca="false">IF(J11="","",L11-J11)</f>
        <v>3600</v>
      </c>
    </row>
    <row r="12" customFormat="false" ht="15" hidden="false" customHeight="false" outlineLevel="0" collapsed="false">
      <c r="A12" s="36" t="n">
        <f aca="false">Setup!A34</f>
        <v>8</v>
      </c>
      <c r="B12" s="36" t="str">
        <f aca="false">Setup!B34</f>
        <v>Sterile gauze swabs 10×10 cm (pack of 100)</v>
      </c>
      <c r="C12" s="45" t="n">
        <f aca="false">Setup!D34</f>
        <v>9000</v>
      </c>
      <c r="D12" s="37" t="n">
        <f aca="false">IF(Quotes!G12="","",Quotes!G12*$C12)</f>
        <v>40230</v>
      </c>
      <c r="E12" s="37" t="str">
        <f aca="false">IF(Quotes!K12="","",Quotes!K12*$C12)</f>
        <v/>
      </c>
      <c r="F12" s="37" t="n">
        <f aca="false">IF(Quotes!O12="","",Quotes!O12*$C12)</f>
        <v>38340</v>
      </c>
      <c r="G12" s="37" t="n">
        <f aca="false">IF(Quotes!S12="","",Quotes!S12*$C12)</f>
        <v>39510</v>
      </c>
      <c r="H12" s="37" t="n">
        <f aca="false">IF(Quotes!W12="","",Quotes!W12*$C12)</f>
        <v>43110</v>
      </c>
      <c r="I12" s="37" t="str">
        <f aca="false">IF(Quotes!AA12="","",Quotes!AA12*$C12)</f>
        <v/>
      </c>
      <c r="J12" s="37" t="n">
        <f aca="false">IF(COUNT(D12:I12)=0,"",MIN(D12:I12))</f>
        <v>38340</v>
      </c>
      <c r="K12" s="46" t="str">
        <f aca="false">IF(J12="","",INDEX($D$4:$I$4,MATCH(J12,D12:I12,0)))</f>
        <v>Premier Surgical LLC</v>
      </c>
      <c r="L12" s="37" t="n">
        <f aca="false">Setup!E34*C12</f>
        <v>36900</v>
      </c>
      <c r="M12" s="37" t="n">
        <f aca="false">IF(J12="","",L12-J12)</f>
        <v>-1440.00000000001</v>
      </c>
    </row>
    <row r="13" customFormat="false" ht="15" hidden="false" customHeight="false" outlineLevel="0" collapsed="false">
      <c r="A13" s="33" t="n">
        <f aca="false">Setup!A35</f>
        <v>9</v>
      </c>
      <c r="B13" s="33" t="str">
        <f aca="false">Setup!B35</f>
        <v>Surgical blade #11 (box of 100)</v>
      </c>
      <c r="C13" s="43" t="n">
        <f aca="false">Setup!D35</f>
        <v>1500</v>
      </c>
      <c r="D13" s="34" t="n">
        <f aca="false">IF(Quotes!G13="","",Quotes!G13*$C13)</f>
        <v>12255</v>
      </c>
      <c r="E13" s="34" t="n">
        <f aca="false">IF(Quotes!K13="","",Quotes!K13*$C13)</f>
        <v>14250</v>
      </c>
      <c r="F13" s="34" t="n">
        <f aca="false">IF(Quotes!O13="","",Quotes!O13*$C13)</f>
        <v>15105</v>
      </c>
      <c r="G13" s="34" t="n">
        <f aca="false">IF(Quotes!S13="","",Quotes!S13*$C13)</f>
        <v>14970</v>
      </c>
      <c r="H13" s="34" t="n">
        <f aca="false">IF(Quotes!W13="","",Quotes!W13*$C13)</f>
        <v>15540</v>
      </c>
      <c r="I13" s="34" t="str">
        <f aca="false">IF(Quotes!AA13="","",Quotes!AA13*$C13)</f>
        <v/>
      </c>
      <c r="J13" s="34" t="n">
        <f aca="false">IF(COUNT(D13:I13)=0,"",MIN(D13:I13))</f>
        <v>12255</v>
      </c>
      <c r="K13" s="44" t="str">
        <f aca="false">IF(J13="","",INDEX($D$4:$I$4,MATCH(J13,D13:I13,0)))</f>
        <v>MedSupply Gulf FZE</v>
      </c>
      <c r="L13" s="34" t="n">
        <f aca="false">Setup!E35*C13</f>
        <v>14250</v>
      </c>
      <c r="M13" s="34" t="n">
        <f aca="false">IF(J13="","",L13-J13)</f>
        <v>1995</v>
      </c>
    </row>
    <row r="14" customFormat="false" ht="15" hidden="false" customHeight="false" outlineLevel="0" collapsed="false">
      <c r="A14" s="36" t="n">
        <f aca="false">Setup!A36</f>
        <v>10</v>
      </c>
      <c r="B14" s="36" t="str">
        <f aca="false">Setup!B36</f>
        <v>Alcohol swabs (box of 200)</v>
      </c>
      <c r="C14" s="45" t="n">
        <f aca="false">Setup!D36</f>
        <v>7000</v>
      </c>
      <c r="D14" s="37" t="n">
        <f aca="false">IF(Quotes!G14="","",Quotes!G14*$C14)</f>
        <v>24570</v>
      </c>
      <c r="E14" s="37" t="n">
        <f aca="false">IF(Quotes!K14="","",Quotes!K14*$C14)</f>
        <v>20580</v>
      </c>
      <c r="F14" s="37" t="n">
        <f aca="false">IF(Quotes!O14="","",Quotes!O14*$C14)</f>
        <v>21420</v>
      </c>
      <c r="G14" s="37" t="n">
        <f aca="false">IF(Quotes!S14="","",Quotes!S14*$C14)</f>
        <v>20370</v>
      </c>
      <c r="H14" s="37" t="n">
        <f aca="false">IF(Quotes!W14="","",Quotes!W14*$C14)</f>
        <v>23100</v>
      </c>
      <c r="I14" s="37" t="str">
        <f aca="false">IF(Quotes!AA14="","",Quotes!AA14*$C14)</f>
        <v/>
      </c>
      <c r="J14" s="37" t="n">
        <f aca="false">IF(COUNT(D14:I14)=0,"",MIN(D14:I14))</f>
        <v>20370</v>
      </c>
      <c r="K14" s="46" t="str">
        <f aca="false">IF(J14="","",INDEX($D$4:$I$4,MATCH(J14,D14:I14,0)))</f>
        <v>Lion City Medical Pte</v>
      </c>
      <c r="L14" s="37" t="n">
        <f aca="false">Setup!E36*C14</f>
        <v>21000</v>
      </c>
      <c r="M14" s="37" t="n">
        <f aca="false">IF(J14="","",L14-J14)</f>
        <v>630</v>
      </c>
    </row>
    <row r="15" customFormat="false" ht="15" hidden="false" customHeight="false" outlineLevel="0" collapsed="false">
      <c r="A15" s="47"/>
      <c r="B15" s="47" t="s">
        <v>60</v>
      </c>
      <c r="C15" s="48"/>
      <c r="D15" s="49" t="n">
        <f aca="false">IF(COUNT(D5:D14)=0,"",SUM(D5:D14))</f>
        <v>557785</v>
      </c>
      <c r="E15" s="49" t="n">
        <f aca="false">IF(COUNT(E5:E14)=0,"",SUM(E5:E14))</f>
        <v>543170</v>
      </c>
      <c r="F15" s="49" t="n">
        <f aca="false">IF(COUNT(F5:F14)=0,"",SUM(F5:F14))</f>
        <v>564015</v>
      </c>
      <c r="G15" s="49" t="n">
        <f aca="false">IF(COUNT(G5:G14)=0,"",SUM(G5:G14))</f>
        <v>563030</v>
      </c>
      <c r="H15" s="49" t="n">
        <f aca="false">IF(COUNT(H5:H14)=0,"",SUM(H5:H14))</f>
        <v>553640</v>
      </c>
      <c r="I15" s="49" t="str">
        <f aca="false">IF(COUNT(I5:I14)=0,"",SUM(I5:I14))</f>
        <v/>
      </c>
      <c r="J15" s="50" t="n">
        <f aca="false">SUM(J5:J14)</f>
        <v>496705</v>
      </c>
      <c r="K15" s="50"/>
      <c r="L15" s="50" t="n">
        <f aca="false">SUM(L5:L14)</f>
        <v>550150</v>
      </c>
      <c r="M15" s="50" t="n">
        <f aca="false">SUM(M5:M14)</f>
        <v>53445</v>
      </c>
    </row>
    <row r="16" customFormat="false" ht="15" hidden="false" customHeight="false" outlineLevel="0" collapsed="false">
      <c r="A16" s="36"/>
      <c r="B16" s="36" t="s">
        <v>61</v>
      </c>
      <c r="C16" s="45"/>
      <c r="D16" s="37" t="n">
        <f aca="false">COUNT(D5:D14)</f>
        <v>10</v>
      </c>
      <c r="E16" s="37" t="n">
        <f aca="false">COUNT(E5:E14)</f>
        <v>9</v>
      </c>
      <c r="F16" s="37" t="n">
        <f aca="false">COUNT(F5:F14)</f>
        <v>10</v>
      </c>
      <c r="G16" s="37" t="n">
        <f aca="false">COUNT(G5:G14)</f>
        <v>10</v>
      </c>
      <c r="H16" s="37" t="n">
        <f aca="false">COUNT(H5:H14)</f>
        <v>10</v>
      </c>
      <c r="I16" s="37" t="n">
        <f aca="false">COUNT(I5:I14)</f>
        <v>0</v>
      </c>
      <c r="J16" s="37"/>
      <c r="K16" s="37"/>
      <c r="L16" s="37"/>
      <c r="M16" s="37"/>
    </row>
    <row r="18" customFormat="false" ht="15" hidden="false" customHeight="false" outlineLevel="0" collapsed="false">
      <c r="A18" s="12" t="s">
        <v>62</v>
      </c>
    </row>
    <row r="19" customFormat="false" ht="31.5" hidden="false" customHeight="true" outlineLevel="0" collapsed="false">
      <c r="A19" s="31" t="s">
        <v>41</v>
      </c>
      <c r="B19" s="32" t="s">
        <v>63</v>
      </c>
      <c r="C19" s="32" t="s">
        <v>64</v>
      </c>
      <c r="D19" s="32" t="s">
        <v>46</v>
      </c>
      <c r="E19" s="32" t="s">
        <v>65</v>
      </c>
      <c r="F19" s="32" t="s">
        <v>66</v>
      </c>
      <c r="G19" s="32" t="s">
        <v>67</v>
      </c>
      <c r="H19" s="32" t="s">
        <v>68</v>
      </c>
      <c r="I19" s="32" t="s">
        <v>69</v>
      </c>
      <c r="J19" s="32" t="s">
        <v>70</v>
      </c>
      <c r="K19" s="32" t="s">
        <v>44</v>
      </c>
      <c r="L19" s="32" t="s">
        <v>71</v>
      </c>
    </row>
    <row r="20" customFormat="false" ht="15" hidden="false" customHeight="false" outlineLevel="0" collapsed="false">
      <c r="A20" s="33" t="str">
        <f aca="false">IF(Setup!B18="","",Setup!B18)</f>
        <v>MedSupply Gulf FZE</v>
      </c>
      <c r="B20" s="34" t="n">
        <f aca="false">IF(D15="","",D15)</f>
        <v>557785</v>
      </c>
      <c r="C20" s="35" t="n">
        <f aca="false">IF(OR(B20="",L20="No"),"",MIN(B$20:B$25)/B20*100)</f>
        <v>97.3798148031948</v>
      </c>
      <c r="D20" s="33" t="n">
        <f aca="false">IF(A20="","",IFERROR(INDEX('Supplier info'!$B$5:$B$10,MATCH(A20,'Supplier info'!$A$5:$A$10,0)),""))</f>
        <v>21</v>
      </c>
      <c r="E20" s="35" t="n">
        <f aca="false">IF(OR(D20="",C20=""),"",MIN(D$20:D$25)/D20*100)</f>
        <v>66.6666666666667</v>
      </c>
      <c r="F20" s="51" t="n">
        <f aca="false">IF(A20="","",IFERROR(INDEX('Supplier info'!$K$5:$K$10,MATCH(A20,'Supplier info'!$A$5:$A$10,0)),""))</f>
        <v>1</v>
      </c>
      <c r="G20" s="35" t="n">
        <f aca="false">IF(OR(F20="",C20=""),"",F20*100)</f>
        <v>100</v>
      </c>
      <c r="H20" s="33" t="n">
        <f aca="false">IF(A20="","",IFERROR(INDEX('Supplier info'!$J$5:$J$10,MATCH(A20,'Supplier info'!$A$5:$A$10,0)),""))</f>
        <v>4</v>
      </c>
      <c r="I20" s="35" t="n">
        <f aca="false">IF(OR(H20="",C20=""),"",H20/5*100)</f>
        <v>80</v>
      </c>
      <c r="J20" s="35" t="n">
        <f aca="false">IF(C20="","",C20*Setup!$B$11+E20*Setup!$B$12+G20*Setup!$B$13+I20*Setup!$B$14)</f>
        <v>91.5588981417571</v>
      </c>
      <c r="K20" s="52" t="n">
        <f aca="false">IF(J20="","",RANK(J20,$J$20:$J$25))</f>
        <v>2</v>
      </c>
      <c r="L20" s="33" t="str">
        <f aca="false">IF(A20="","",IF(D16=10,"Yes","No"))</f>
        <v>Yes</v>
      </c>
    </row>
    <row r="21" customFormat="false" ht="15" hidden="false" customHeight="false" outlineLevel="0" collapsed="false">
      <c r="A21" s="36" t="str">
        <f aca="false">IF(Setup!B19="","",Setup!B19)</f>
        <v>Shanghai Medtech Co.</v>
      </c>
      <c r="B21" s="37" t="n">
        <f aca="false">IF(E15="","",E15)</f>
        <v>543170</v>
      </c>
      <c r="C21" s="38" t="str">
        <f aca="false">IF(OR(B21="",L21="No"),"",MIN(B$20:B$25)/B21*100)</f>
        <v/>
      </c>
      <c r="D21" s="36" t="n">
        <f aca="false">IF(A21="","",IFERROR(INDEX('Supplier info'!$B$5:$B$10,MATCH(A21,'Supplier info'!$A$5:$A$10,0)),""))</f>
        <v>45</v>
      </c>
      <c r="E21" s="38" t="str">
        <f aca="false">IF(OR(D21="",C21=""),"",MIN(D$20:D$25)/D21*100)</f>
        <v/>
      </c>
      <c r="F21" s="53" t="n">
        <f aca="false">IF(A21="","",IFERROR(INDEX('Supplier info'!$K$5:$K$10,MATCH(A21,'Supplier info'!$A$5:$A$10,0)),""))</f>
        <v>0.75</v>
      </c>
      <c r="G21" s="38" t="str">
        <f aca="false">IF(OR(F21="",C21=""),"",F21*100)</f>
        <v/>
      </c>
      <c r="H21" s="36" t="n">
        <f aca="false">IF(A21="","",IFERROR(INDEX('Supplier info'!$J$5:$J$10,MATCH(A21,'Supplier info'!$A$5:$A$10,0)),""))</f>
        <v>3</v>
      </c>
      <c r="I21" s="38" t="str">
        <f aca="false">IF(OR(H21="",C21=""),"",H21/5*100)</f>
        <v/>
      </c>
      <c r="J21" s="38" t="str">
        <f aca="false">IF(C21="","",C21*Setup!$B$11+E21*Setup!$B$12+G21*Setup!$B$13+I21*Setup!$B$14)</f>
        <v/>
      </c>
      <c r="K21" s="36" t="str">
        <f aca="false">IF(J21="","",RANK(J21,$J$20:$J$25))</f>
        <v/>
      </c>
      <c r="L21" s="36" t="str">
        <f aca="false">IF(A21="","",IF(E16=10,"Yes","No"))</f>
        <v>No</v>
      </c>
    </row>
    <row r="22" customFormat="false" ht="15" hidden="false" customHeight="false" outlineLevel="0" collapsed="false">
      <c r="A22" s="33" t="str">
        <f aca="false">IF(Setup!B20="","",Setup!B20)</f>
        <v>Premier Surgical LLC</v>
      </c>
      <c r="B22" s="34" t="n">
        <f aca="false">IF(F15="","",F15)</f>
        <v>564015</v>
      </c>
      <c r="C22" s="35" t="n">
        <f aca="false">IF(OR(B22="",L22="No"),"",MIN(B$20:B$25)/B22*100)</f>
        <v>96.3041763073677</v>
      </c>
      <c r="D22" s="33" t="n">
        <f aca="false">IF(A22="","",IFERROR(INDEX('Supplier info'!$B$5:$B$10,MATCH(A22,'Supplier info'!$A$5:$A$10,0)),""))</f>
        <v>14</v>
      </c>
      <c r="E22" s="35" t="n">
        <f aca="false">IF(OR(D22="",C22=""),"",MIN(D$20:D$25)/D22*100)</f>
        <v>100</v>
      </c>
      <c r="F22" s="51" t="n">
        <f aca="false">IF(A22="","",IFERROR(INDEX('Supplier info'!$K$5:$K$10,MATCH(A22,'Supplier info'!$A$5:$A$10,0)),""))</f>
        <v>0.75</v>
      </c>
      <c r="G22" s="35" t="n">
        <f aca="false">IF(OR(F22="",C22=""),"",F22*100)</f>
        <v>75</v>
      </c>
      <c r="H22" s="33" t="n">
        <f aca="false">IF(A22="","",IFERROR(INDEX('Supplier info'!$J$5:$J$10,MATCH(A22,'Supplier info'!$A$5:$A$10,0)),""))</f>
        <v>5</v>
      </c>
      <c r="I22" s="35" t="n">
        <f aca="false">IF(OR(H22="",C22=""),"",H22/5*100)</f>
        <v>100</v>
      </c>
      <c r="J22" s="35" t="n">
        <f aca="false">IF(C22="","",C22*Setup!$B$11+E22*Setup!$B$12+G22*Setup!$B$13+I22*Setup!$B$14)</f>
        <v>92.9672969690523</v>
      </c>
      <c r="K22" s="52" t="n">
        <f aca="false">IF(J22="","",RANK(J22,$J$20:$J$25))</f>
        <v>1</v>
      </c>
      <c r="L22" s="33" t="str">
        <f aca="false">IF(A22="","",IF(F16=10,"Yes","No"))</f>
        <v>Yes</v>
      </c>
    </row>
    <row r="23" customFormat="false" ht="15" hidden="false" customHeight="false" outlineLevel="0" collapsed="false">
      <c r="A23" s="36" t="str">
        <f aca="false">IF(Setup!B21="","",Setup!B21)</f>
        <v>Lion City Medical Pte</v>
      </c>
      <c r="B23" s="37" t="n">
        <f aca="false">IF(G15="","",G15)</f>
        <v>563030</v>
      </c>
      <c r="C23" s="38" t="n">
        <f aca="false">IF(OR(B23="",L23="No"),"",MIN(B$20:B$25)/B23*100)</f>
        <v>96.4726568744117</v>
      </c>
      <c r="D23" s="36" t="n">
        <f aca="false">IF(A23="","",IFERROR(INDEX('Supplier info'!$B$5:$B$10,MATCH(A23,'Supplier info'!$A$5:$A$10,0)),""))</f>
        <v>30</v>
      </c>
      <c r="E23" s="38" t="n">
        <f aca="false">IF(OR(D23="",C23=""),"",MIN(D$20:D$25)/D23*100)</f>
        <v>46.6666666666667</v>
      </c>
      <c r="F23" s="53" t="n">
        <f aca="false">IF(A23="","",IFERROR(INDEX('Supplier info'!$K$5:$K$10,MATCH(A23,'Supplier info'!$A$5:$A$10,0)),""))</f>
        <v>0.75</v>
      </c>
      <c r="G23" s="38" t="n">
        <f aca="false">IF(OR(F23="",C23=""),"",F23*100)</f>
        <v>75</v>
      </c>
      <c r="H23" s="36" t="n">
        <f aca="false">IF(A23="","",IFERROR(INDEX('Supplier info'!$J$5:$J$10,MATCH(A23,'Supplier info'!$A$5:$A$10,0)),""))</f>
        <v>3</v>
      </c>
      <c r="I23" s="38" t="n">
        <f aca="false">IF(OR(H23="",C23=""),"",H23/5*100)</f>
        <v>60</v>
      </c>
      <c r="J23" s="38" t="n">
        <f aca="false">IF(C23="","",C23*Setup!$B$11+E23*Setup!$B$12+G23*Setup!$B$13+I23*Setup!$B$14)</f>
        <v>81.0599612809264</v>
      </c>
      <c r="K23" s="36" t="n">
        <f aca="false">IF(J23="","",RANK(J23,$J$20:$J$25))</f>
        <v>4</v>
      </c>
      <c r="L23" s="36" t="str">
        <f aca="false">IF(A23="","",IF(G16=10,"Yes","No"))</f>
        <v>Yes</v>
      </c>
    </row>
    <row r="24" customFormat="false" ht="15" hidden="false" customHeight="false" outlineLevel="0" collapsed="false">
      <c r="A24" s="33" t="str">
        <f aca="false">IF(Setup!B22="","",Setup!B22)</f>
        <v>Bharat Surgicals Ltd</v>
      </c>
      <c r="B24" s="34" t="n">
        <f aca="false">IF(H15="","",H15)</f>
        <v>553640</v>
      </c>
      <c r="C24" s="35" t="n">
        <f aca="false">IF(OR(B24="",L24="No"),"",MIN(B$20:B$25)/B24*100)</f>
        <v>98.1088794162271</v>
      </c>
      <c r="D24" s="33" t="n">
        <f aca="false">IF(A24="","",IFERROR(INDEX('Supplier info'!$B$5:$B$10,MATCH(A24,'Supplier info'!$A$5:$A$10,0)),""))</f>
        <v>35</v>
      </c>
      <c r="E24" s="35" t="n">
        <f aca="false">IF(OR(D24="",C24=""),"",MIN(D$20:D$25)/D24*100)</f>
        <v>40</v>
      </c>
      <c r="F24" s="51" t="n">
        <f aca="false">IF(A24="","",IFERROR(INDEX('Supplier info'!$K$5:$K$10,MATCH(A24,'Supplier info'!$A$5:$A$10,0)),""))</f>
        <v>1</v>
      </c>
      <c r="G24" s="35" t="n">
        <f aca="false">IF(OR(F24="",C24=""),"",F24*100)</f>
        <v>100</v>
      </c>
      <c r="H24" s="33" t="n">
        <f aca="false">IF(A24="","",IFERROR(INDEX('Supplier info'!$J$5:$J$10,MATCH(A24,'Supplier info'!$A$5:$A$10,0)),""))</f>
        <v>4</v>
      </c>
      <c r="I24" s="35" t="n">
        <f aca="false">IF(OR(H24="",C24=""),"",H24/5*100)</f>
        <v>80</v>
      </c>
      <c r="J24" s="35" t="n">
        <f aca="false">IF(C24="","",C24*Setup!$B$11+E24*Setup!$B$12+G24*Setup!$B$13+I24*Setup!$B$14)</f>
        <v>87.9598836789249</v>
      </c>
      <c r="K24" s="52" t="n">
        <f aca="false">IF(J24="","",RANK(J24,$J$20:$J$25))</f>
        <v>3</v>
      </c>
      <c r="L24" s="33" t="str">
        <f aca="false">IF(A24="","",IF(H16=10,"Yes","No"))</f>
        <v>Yes</v>
      </c>
    </row>
    <row r="25" customFormat="false" ht="15" hidden="false" customHeight="false" outlineLevel="0" collapsed="false">
      <c r="A25" s="36" t="str">
        <f aca="false">IF(Setup!B23="","",Setup!B23)</f>
        <v/>
      </c>
      <c r="B25" s="37" t="str">
        <f aca="false">IF(I15="","",I15)</f>
        <v/>
      </c>
      <c r="C25" s="38" t="str">
        <f aca="false">IF(OR(B25="",L25="No"),"",MIN(B$20:B$25)/B25*100)</f>
        <v/>
      </c>
      <c r="D25" s="36" t="str">
        <f aca="false">IF(A25="","",IFERROR(INDEX('Supplier info'!$B$5:$B$10,MATCH(A25,'Supplier info'!$A$5:$A$10,0)),""))</f>
        <v/>
      </c>
      <c r="E25" s="38" t="str">
        <f aca="false">IF(OR(D25="",C25=""),"",MIN(D$20:D$25)/D25*100)</f>
        <v/>
      </c>
      <c r="F25" s="53" t="str">
        <f aca="false">IF(A25="","",IFERROR(INDEX('Supplier info'!$K$5:$K$10,MATCH(A25,'Supplier info'!$A$5:$A$10,0)),""))</f>
        <v/>
      </c>
      <c r="G25" s="38" t="str">
        <f aca="false">IF(OR(F25="",C25=""),"",F25*100)</f>
        <v/>
      </c>
      <c r="H25" s="36" t="str">
        <f aca="false">IF(A25="","",IFERROR(INDEX('Supplier info'!$J$5:$J$10,MATCH(A25,'Supplier info'!$A$5:$A$10,0)),""))</f>
        <v/>
      </c>
      <c r="I25" s="38" t="str">
        <f aca="false">IF(OR(H25="",C25=""),"",H25/5*100)</f>
        <v/>
      </c>
      <c r="J25" s="38" t="str">
        <f aca="false">IF(C25="","",C25*Setup!$B$11+E25*Setup!$B$12+G25*Setup!$B$13+I25*Setup!$B$14)</f>
        <v/>
      </c>
      <c r="K25" s="36" t="str">
        <f aca="false">IF(J25="","",RANK(J25,$J$20:$J$25))</f>
        <v/>
      </c>
      <c r="L25" s="36" t="str">
        <f aca="false">IF(A25="","",IF(I16=10,"Yes","No"))</f>
        <v/>
      </c>
    </row>
  </sheetData>
  <conditionalFormatting sqref="D5:I5">
    <cfRule type="expression" priority="2" aboveAverage="0" equalAverage="0" bottom="0" percent="0" rank="0" text="" dxfId="0">
      <formula>AND(D5&lt;&gt;"",D5=MIN($D5:$I5))</formula>
    </cfRule>
  </conditionalFormatting>
  <conditionalFormatting sqref="D6:I6">
    <cfRule type="expression" priority="3" aboveAverage="0" equalAverage="0" bottom="0" percent="0" rank="0" text="" dxfId="0">
      <formula>AND(D6&lt;&gt;"",D6=MIN($D6:$I6))</formula>
    </cfRule>
  </conditionalFormatting>
  <conditionalFormatting sqref="D7:I7">
    <cfRule type="expression" priority="4" aboveAverage="0" equalAverage="0" bottom="0" percent="0" rank="0" text="" dxfId="0">
      <formula>AND(D7&lt;&gt;"",D7=MIN($D7:$I7))</formula>
    </cfRule>
  </conditionalFormatting>
  <conditionalFormatting sqref="D8:I8">
    <cfRule type="expression" priority="5" aboveAverage="0" equalAverage="0" bottom="0" percent="0" rank="0" text="" dxfId="0">
      <formula>AND(D8&lt;&gt;"",D8=MIN($D8:$I8))</formula>
    </cfRule>
  </conditionalFormatting>
  <conditionalFormatting sqref="D9:I9">
    <cfRule type="expression" priority="6" aboveAverage="0" equalAverage="0" bottom="0" percent="0" rank="0" text="" dxfId="0">
      <formula>AND(D9&lt;&gt;"",D9=MIN($D9:$I9))</formula>
    </cfRule>
  </conditionalFormatting>
  <conditionalFormatting sqref="D10:I10">
    <cfRule type="expression" priority="7" aboveAverage="0" equalAverage="0" bottom="0" percent="0" rank="0" text="" dxfId="0">
      <formula>AND(D10&lt;&gt;"",D10=MIN($D10:$I10))</formula>
    </cfRule>
  </conditionalFormatting>
  <conditionalFormatting sqref="D11:I11">
    <cfRule type="expression" priority="8" aboveAverage="0" equalAverage="0" bottom="0" percent="0" rank="0" text="" dxfId="0">
      <formula>AND(D11&lt;&gt;"",D11=MIN($D11:$I11))</formula>
    </cfRule>
  </conditionalFormatting>
  <conditionalFormatting sqref="D12:I12">
    <cfRule type="expression" priority="9" aboveAverage="0" equalAverage="0" bottom="0" percent="0" rank="0" text="" dxfId="0">
      <formula>AND(D12&lt;&gt;"",D12=MIN($D12:$I12))</formula>
    </cfRule>
  </conditionalFormatting>
  <conditionalFormatting sqref="D13:I13">
    <cfRule type="expression" priority="10" aboveAverage="0" equalAverage="0" bottom="0" percent="0" rank="0" text="" dxfId="0">
      <formula>AND(D13&lt;&gt;"",D13=MIN($D13:$I13))</formula>
    </cfRule>
  </conditionalFormatting>
  <conditionalFormatting sqref="D14:I14">
    <cfRule type="expression" priority="11" aboveAverage="0" equalAverage="0" bottom="0" percent="0" rank="0" text="" dxfId="0">
      <formula>AND(D14&lt;&gt;"",D14=MIN($D14:$I14))</formula>
    </cfRule>
  </conditionalFormatting>
  <conditionalFormatting sqref="J20:J25">
    <cfRule type="colorScale" priority="12">
      <colorScale>
        <cfvo type="min" val="0"/>
        <cfvo type="max" val="0"/>
        <color rgb="FFFFFFFF"/>
        <color rgb="FFFF6B00"/>
      </colorScale>
    </cfRule>
  </conditionalFormatting>
  <conditionalFormatting sqref="K20:K25">
    <cfRule type="cellIs" priority="13" operator="equal" aboveAverage="0" equalAverage="0" bottom="0" percent="0" rank="0" text="" dxfId="1">
      <formula>1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44"/>
    <col collapsed="false" customWidth="true" hidden="false" outlineLevel="0" max="3" min="3" style="0" width="10"/>
    <col collapsed="false" customWidth="true" hidden="false" outlineLevel="0" max="4" min="4" style="0" width="14"/>
    <col collapsed="false" customWidth="true" hidden="false" outlineLevel="0" max="5" min="5" style="0" width="18"/>
  </cols>
  <sheetData>
    <row r="1" customFormat="false" ht="22.05" hidden="false" customHeight="false" outlineLevel="0" collapsed="false">
      <c r="A1" s="41" t="s">
        <v>72</v>
      </c>
    </row>
    <row r="2" customFormat="false" ht="15" hidden="false" customHeight="false" outlineLevel="0" collapsed="false">
      <c r="A2" s="42" t="s">
        <v>73</v>
      </c>
    </row>
    <row r="4" customFormat="false" ht="15" hidden="false" customHeight="false" outlineLevel="0" collapsed="false">
      <c r="A4" s="9" t="s">
        <v>74</v>
      </c>
      <c r="B4" s="54" t="s">
        <v>75</v>
      </c>
    </row>
    <row r="5" customFormat="false" ht="15" hidden="false" customHeight="false" outlineLevel="0" collapsed="false">
      <c r="A5" s="9" t="s">
        <v>29</v>
      </c>
      <c r="B5" s="54" t="s">
        <v>76</v>
      </c>
    </row>
    <row r="6" customFormat="false" ht="15" hidden="false" customHeight="false" outlineLevel="0" collapsed="false">
      <c r="A6" s="9" t="s">
        <v>77</v>
      </c>
      <c r="B6" s="54" t="s">
        <v>78</v>
      </c>
    </row>
    <row r="7" customFormat="false" ht="15" hidden="false" customHeight="false" outlineLevel="0" collapsed="false">
      <c r="A7" s="9" t="s">
        <v>30</v>
      </c>
      <c r="B7" s="55" t="n">
        <v>46356</v>
      </c>
    </row>
    <row r="8" customFormat="false" ht="15" hidden="false" customHeight="false" outlineLevel="0" collapsed="false">
      <c r="A8" s="9" t="s">
        <v>79</v>
      </c>
      <c r="B8" s="56" t="n">
        <v>520000</v>
      </c>
    </row>
    <row r="10" customFormat="false" ht="15" hidden="false" customHeight="false" outlineLevel="0" collapsed="false">
      <c r="A10" s="12" t="s">
        <v>80</v>
      </c>
    </row>
    <row r="11" customFormat="false" ht="15" hidden="false" customHeight="false" outlineLevel="0" collapsed="false">
      <c r="A11" s="9" t="s">
        <v>81</v>
      </c>
      <c r="B11" s="57" t="n">
        <v>0.55</v>
      </c>
    </row>
    <row r="12" customFormat="false" ht="15" hidden="false" customHeight="false" outlineLevel="0" collapsed="false">
      <c r="A12" s="9" t="s">
        <v>82</v>
      </c>
      <c r="B12" s="57" t="n">
        <v>0.15</v>
      </c>
    </row>
    <row r="13" customFormat="false" ht="15" hidden="false" customHeight="false" outlineLevel="0" collapsed="false">
      <c r="A13" s="9" t="s">
        <v>66</v>
      </c>
      <c r="B13" s="57" t="n">
        <v>0.2</v>
      </c>
    </row>
    <row r="14" customFormat="false" ht="15" hidden="false" customHeight="false" outlineLevel="0" collapsed="false">
      <c r="A14" s="9" t="s">
        <v>68</v>
      </c>
      <c r="B14" s="57" t="n">
        <v>0.1</v>
      </c>
    </row>
    <row r="15" customFormat="false" ht="15" hidden="false" customHeight="false" outlineLevel="0" collapsed="false">
      <c r="A15" s="0" t="s">
        <v>83</v>
      </c>
      <c r="B15" s="58" t="n">
        <f aca="false">SUM(B11:B14)</f>
        <v>1</v>
      </c>
      <c r="C15" s="59" t="str">
        <f aca="false">IF(ROUND(B15,4)=1,"OK","Weights must total 100%")</f>
        <v>OK</v>
      </c>
    </row>
    <row r="17" customFormat="false" ht="15" hidden="false" customHeight="false" outlineLevel="0" collapsed="false">
      <c r="A17" s="12" t="s">
        <v>84</v>
      </c>
    </row>
    <row r="18" customFormat="false" ht="15" hidden="false" customHeight="false" outlineLevel="0" collapsed="false">
      <c r="A18" s="9" t="s">
        <v>85</v>
      </c>
      <c r="B18" s="60" t="s">
        <v>86</v>
      </c>
    </row>
    <row r="19" customFormat="false" ht="15" hidden="false" customHeight="false" outlineLevel="0" collapsed="false">
      <c r="A19" s="9" t="s">
        <v>87</v>
      </c>
      <c r="B19" s="60" t="s">
        <v>88</v>
      </c>
    </row>
    <row r="20" customFormat="false" ht="15" hidden="false" customHeight="false" outlineLevel="0" collapsed="false">
      <c r="A20" s="9" t="s">
        <v>89</v>
      </c>
      <c r="B20" s="60" t="s">
        <v>90</v>
      </c>
    </row>
    <row r="21" customFormat="false" ht="15" hidden="false" customHeight="false" outlineLevel="0" collapsed="false">
      <c r="A21" s="9" t="s">
        <v>91</v>
      </c>
      <c r="B21" s="60" t="s">
        <v>92</v>
      </c>
    </row>
    <row r="22" customFormat="false" ht="15" hidden="false" customHeight="false" outlineLevel="0" collapsed="false">
      <c r="A22" s="9" t="s">
        <v>93</v>
      </c>
      <c r="B22" s="60" t="s">
        <v>94</v>
      </c>
    </row>
    <row r="23" customFormat="false" ht="15" hidden="false" customHeight="false" outlineLevel="0" collapsed="false">
      <c r="A23" s="9" t="s">
        <v>95</v>
      </c>
      <c r="B23" s="60"/>
    </row>
    <row r="25" customFormat="false" ht="15" hidden="false" customHeight="false" outlineLevel="0" collapsed="false">
      <c r="A25" s="12" t="s">
        <v>96</v>
      </c>
    </row>
    <row r="26" customFormat="false" ht="31.5" hidden="false" customHeight="true" outlineLevel="0" collapsed="false">
      <c r="A26" s="31" t="s">
        <v>53</v>
      </c>
      <c r="B26" s="32" t="s">
        <v>97</v>
      </c>
      <c r="C26" s="32" t="s">
        <v>98</v>
      </c>
      <c r="D26" s="32" t="s">
        <v>99</v>
      </c>
      <c r="E26" s="32" t="s">
        <v>100</v>
      </c>
    </row>
    <row r="27" customFormat="false" ht="15" hidden="false" customHeight="false" outlineLevel="0" collapsed="false">
      <c r="A27" s="33" t="n">
        <v>1</v>
      </c>
      <c r="B27" s="61" t="s">
        <v>101</v>
      </c>
      <c r="C27" s="61" t="s">
        <v>102</v>
      </c>
      <c r="D27" s="62" t="n">
        <v>12000</v>
      </c>
      <c r="E27" s="63" t="n">
        <v>5.5</v>
      </c>
    </row>
    <row r="28" customFormat="false" ht="15" hidden="false" customHeight="false" outlineLevel="0" collapsed="false">
      <c r="A28" s="36" t="n">
        <v>2</v>
      </c>
      <c r="B28" s="64" t="s">
        <v>103</v>
      </c>
      <c r="C28" s="64" t="s">
        <v>102</v>
      </c>
      <c r="D28" s="65" t="n">
        <v>20000</v>
      </c>
      <c r="E28" s="66" t="n">
        <v>2.6</v>
      </c>
    </row>
    <row r="29" customFormat="false" ht="15" hidden="false" customHeight="false" outlineLevel="0" collapsed="false">
      <c r="A29" s="33" t="n">
        <v>3</v>
      </c>
      <c r="B29" s="61" t="s">
        <v>104</v>
      </c>
      <c r="C29" s="61" t="s">
        <v>102</v>
      </c>
      <c r="D29" s="62" t="n">
        <v>6000</v>
      </c>
      <c r="E29" s="63" t="n">
        <v>7.9</v>
      </c>
    </row>
    <row r="30" customFormat="false" ht="15" hidden="false" customHeight="false" outlineLevel="0" collapsed="false">
      <c r="A30" s="36" t="n">
        <v>4</v>
      </c>
      <c r="B30" s="64" t="s">
        <v>105</v>
      </c>
      <c r="C30" s="64" t="s">
        <v>102</v>
      </c>
      <c r="D30" s="65" t="n">
        <v>4000</v>
      </c>
      <c r="E30" s="66" t="n">
        <v>22</v>
      </c>
    </row>
    <row r="31" customFormat="false" ht="15" hidden="false" customHeight="false" outlineLevel="0" collapsed="false">
      <c r="A31" s="33" t="n">
        <v>5</v>
      </c>
      <c r="B31" s="61" t="s">
        <v>106</v>
      </c>
      <c r="C31" s="61" t="s">
        <v>107</v>
      </c>
      <c r="D31" s="62" t="n">
        <v>3000</v>
      </c>
      <c r="E31" s="63" t="n">
        <v>28</v>
      </c>
    </row>
    <row r="32" customFormat="false" ht="15" hidden="false" customHeight="false" outlineLevel="0" collapsed="false">
      <c r="A32" s="36" t="n">
        <v>6</v>
      </c>
      <c r="B32" s="64" t="s">
        <v>108</v>
      </c>
      <c r="C32" s="64" t="s">
        <v>102</v>
      </c>
      <c r="D32" s="65" t="n">
        <v>2500</v>
      </c>
      <c r="E32" s="66" t="n">
        <v>46</v>
      </c>
    </row>
    <row r="33" customFormat="false" ht="15" hidden="false" customHeight="false" outlineLevel="0" collapsed="false">
      <c r="A33" s="33" t="n">
        <v>7</v>
      </c>
      <c r="B33" s="61" t="s">
        <v>109</v>
      </c>
      <c r="C33" s="61" t="s">
        <v>110</v>
      </c>
      <c r="D33" s="62" t="n">
        <v>8000</v>
      </c>
      <c r="E33" s="63" t="n">
        <v>3.2</v>
      </c>
    </row>
    <row r="34" customFormat="false" ht="15" hidden="false" customHeight="false" outlineLevel="0" collapsed="false">
      <c r="A34" s="36" t="n">
        <v>8</v>
      </c>
      <c r="B34" s="64" t="s">
        <v>111</v>
      </c>
      <c r="C34" s="64" t="s">
        <v>107</v>
      </c>
      <c r="D34" s="65" t="n">
        <v>9000</v>
      </c>
      <c r="E34" s="66" t="n">
        <v>4.1</v>
      </c>
    </row>
    <row r="35" customFormat="false" ht="15" hidden="false" customHeight="false" outlineLevel="0" collapsed="false">
      <c r="A35" s="33" t="n">
        <v>9</v>
      </c>
      <c r="B35" s="61" t="s">
        <v>112</v>
      </c>
      <c r="C35" s="61" t="s">
        <v>102</v>
      </c>
      <c r="D35" s="62" t="n">
        <v>1500</v>
      </c>
      <c r="E35" s="63" t="n">
        <v>9.5</v>
      </c>
    </row>
    <row r="36" customFormat="false" ht="15" hidden="false" customHeight="false" outlineLevel="0" collapsed="false">
      <c r="A36" s="36" t="n">
        <v>10</v>
      </c>
      <c r="B36" s="64" t="s">
        <v>113</v>
      </c>
      <c r="C36" s="64" t="s">
        <v>102</v>
      </c>
      <c r="D36" s="65" t="n">
        <v>7000</v>
      </c>
      <c r="E36" s="66" t="n">
        <v>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4" min="2" style="0" width="14"/>
    <col collapsed="false" customWidth="true" hidden="false" outlineLevel="0" max="5" min="5" style="0" width="10"/>
    <col collapsed="false" customWidth="true" hidden="false" outlineLevel="0" max="6" min="6" style="0" width="12"/>
    <col collapsed="false" customWidth="true" hidden="false" outlineLevel="0" max="8" min="7" style="0" width="14"/>
    <col collapsed="false" customWidth="true" hidden="false" outlineLevel="0" max="9" min="9" style="0" width="12"/>
    <col collapsed="false" customWidth="true" hidden="false" outlineLevel="0" max="11" min="10" style="0" width="14"/>
  </cols>
  <sheetData>
    <row r="1" customFormat="false" ht="22.05" hidden="false" customHeight="false" outlineLevel="0" collapsed="false">
      <c r="A1" s="41" t="s">
        <v>114</v>
      </c>
    </row>
    <row r="2" customFormat="false" ht="15" hidden="false" customHeight="false" outlineLevel="0" collapsed="false">
      <c r="A2" s="42" t="s">
        <v>115</v>
      </c>
    </row>
    <row r="4" customFormat="false" ht="31.5" hidden="false" customHeight="true" outlineLevel="0" collapsed="false">
      <c r="A4" s="31" t="s">
        <v>41</v>
      </c>
      <c r="B4" s="32" t="s">
        <v>46</v>
      </c>
      <c r="C4" s="32" t="s">
        <v>116</v>
      </c>
      <c r="D4" s="32" t="s">
        <v>117</v>
      </c>
      <c r="E4" s="32" t="s">
        <v>118</v>
      </c>
      <c r="F4" s="32" t="s">
        <v>119</v>
      </c>
      <c r="G4" s="32" t="s">
        <v>120</v>
      </c>
      <c r="H4" s="32" t="s">
        <v>121</v>
      </c>
      <c r="I4" s="32" t="s">
        <v>122</v>
      </c>
      <c r="J4" s="32" t="s">
        <v>123</v>
      </c>
      <c r="K4" s="32" t="s">
        <v>67</v>
      </c>
    </row>
    <row r="5" customFormat="false" ht="15" hidden="false" customHeight="false" outlineLevel="0" collapsed="false">
      <c r="A5" s="33" t="str">
        <f aca="false">IF(Setup!B18="","",Setup!B18)</f>
        <v>MedSupply Gulf FZE</v>
      </c>
      <c r="B5" s="61" t="n">
        <v>21</v>
      </c>
      <c r="C5" s="61" t="n">
        <v>90</v>
      </c>
      <c r="D5" s="61" t="s">
        <v>124</v>
      </c>
      <c r="E5" s="61" t="s">
        <v>125</v>
      </c>
      <c r="F5" s="61" t="s">
        <v>126</v>
      </c>
      <c r="G5" s="61" t="s">
        <v>126</v>
      </c>
      <c r="H5" s="61" t="s">
        <v>126</v>
      </c>
      <c r="I5" s="61" t="s">
        <v>126</v>
      </c>
      <c r="J5" s="61" t="n">
        <v>4</v>
      </c>
      <c r="K5" s="51" t="n">
        <f aca="false">IF(A5="","",(COUNTIF(F5:I5,"Yes"))/4)</f>
        <v>1</v>
      </c>
    </row>
    <row r="6" customFormat="false" ht="15" hidden="false" customHeight="false" outlineLevel="0" collapsed="false">
      <c r="A6" s="36" t="str">
        <f aca="false">IF(Setup!B19="","",Setup!B19)</f>
        <v>Shanghai Medtech Co.</v>
      </c>
      <c r="B6" s="64" t="n">
        <v>45</v>
      </c>
      <c r="C6" s="64" t="n">
        <v>60</v>
      </c>
      <c r="D6" s="64" t="s">
        <v>127</v>
      </c>
      <c r="E6" s="64" t="s">
        <v>128</v>
      </c>
      <c r="F6" s="64" t="s">
        <v>126</v>
      </c>
      <c r="G6" s="64" t="s">
        <v>126</v>
      </c>
      <c r="H6" s="64" t="s">
        <v>129</v>
      </c>
      <c r="I6" s="64" t="s">
        <v>126</v>
      </c>
      <c r="J6" s="64" t="n">
        <v>3</v>
      </c>
      <c r="K6" s="53" t="n">
        <f aca="false">IF(A6="","",(COUNTIF(F6:I6,"Yes"))/4)</f>
        <v>0.75</v>
      </c>
    </row>
    <row r="7" customFormat="false" ht="15" hidden="false" customHeight="false" outlineLevel="0" collapsed="false">
      <c r="A7" s="33" t="str">
        <f aca="false">IF(Setup!B20="","",Setup!B20)</f>
        <v>Premier Surgical LLC</v>
      </c>
      <c r="B7" s="61" t="n">
        <v>14</v>
      </c>
      <c r="C7" s="61" t="n">
        <v>120</v>
      </c>
      <c r="D7" s="61" t="s">
        <v>130</v>
      </c>
      <c r="E7" s="61" t="s">
        <v>125</v>
      </c>
      <c r="F7" s="61" t="s">
        <v>126</v>
      </c>
      <c r="G7" s="61" t="s">
        <v>126</v>
      </c>
      <c r="H7" s="61" t="s">
        <v>126</v>
      </c>
      <c r="I7" s="61" t="s">
        <v>129</v>
      </c>
      <c r="J7" s="61" t="n">
        <v>5</v>
      </c>
      <c r="K7" s="51" t="n">
        <f aca="false">IF(A7="","",(COUNTIF(F7:I7,"Yes"))/4)</f>
        <v>0.75</v>
      </c>
    </row>
    <row r="8" customFormat="false" ht="15" hidden="false" customHeight="false" outlineLevel="0" collapsed="false">
      <c r="A8" s="36" t="str">
        <f aca="false">IF(Setup!B21="","",Setup!B21)</f>
        <v>Lion City Medical Pte</v>
      </c>
      <c r="B8" s="64" t="n">
        <v>30</v>
      </c>
      <c r="C8" s="64" t="n">
        <v>90</v>
      </c>
      <c r="D8" s="64" t="s">
        <v>131</v>
      </c>
      <c r="E8" s="64" t="s">
        <v>132</v>
      </c>
      <c r="F8" s="64" t="s">
        <v>126</v>
      </c>
      <c r="G8" s="64" t="s">
        <v>129</v>
      </c>
      <c r="H8" s="64" t="s">
        <v>126</v>
      </c>
      <c r="I8" s="64" t="s">
        <v>126</v>
      </c>
      <c r="J8" s="64" t="n">
        <v>3</v>
      </c>
      <c r="K8" s="53" t="n">
        <f aca="false">IF(A8="","",(COUNTIF(F8:I8,"Yes"))/4)</f>
        <v>0.75</v>
      </c>
    </row>
    <row r="9" customFormat="false" ht="15" hidden="false" customHeight="false" outlineLevel="0" collapsed="false">
      <c r="A9" s="33" t="str">
        <f aca="false">IF(Setup!B22="","",Setup!B22)</f>
        <v>Bharat Surgicals Ltd</v>
      </c>
      <c r="B9" s="61" t="n">
        <v>35</v>
      </c>
      <c r="C9" s="61" t="n">
        <v>90</v>
      </c>
      <c r="D9" s="61" t="s">
        <v>124</v>
      </c>
      <c r="E9" s="61" t="s">
        <v>132</v>
      </c>
      <c r="F9" s="61" t="s">
        <v>126</v>
      </c>
      <c r="G9" s="61" t="s">
        <v>126</v>
      </c>
      <c r="H9" s="61" t="s">
        <v>126</v>
      </c>
      <c r="I9" s="61" t="s">
        <v>126</v>
      </c>
      <c r="J9" s="61" t="n">
        <v>4</v>
      </c>
      <c r="K9" s="51" t="n">
        <f aca="false">IF(A9="","",(COUNTIF(F9:I9,"Yes"))/4)</f>
        <v>1</v>
      </c>
    </row>
    <row r="10" customFormat="false" ht="15" hidden="false" customHeight="false" outlineLevel="0" collapsed="false">
      <c r="A10" s="36" t="str">
        <f aca="false">IF(Setup!B23="","",Setup!B23)</f>
        <v/>
      </c>
      <c r="B10" s="64"/>
      <c r="C10" s="64"/>
      <c r="D10" s="64"/>
      <c r="E10" s="64"/>
      <c r="F10" s="64"/>
      <c r="G10" s="64"/>
      <c r="H10" s="64"/>
      <c r="I10" s="64"/>
      <c r="J10" s="64"/>
      <c r="K10" s="53" t="str">
        <f aca="false">IF(A10="","",(COUNTIF(F10:I10,"Yes"))/4)</f>
        <v/>
      </c>
    </row>
  </sheetData>
  <dataValidations count="1">
    <dataValidation allowBlank="true" errorStyle="stop" operator="between" showDropDown="false" showErrorMessage="false" showInputMessage="false" sqref="F5:I10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A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40"/>
    <col collapsed="false" customWidth="true" hidden="false" outlineLevel="0" max="3" min="3" style="0" width="9"/>
    <col collapsed="false" customWidth="true" hidden="false" outlineLevel="0" max="4" min="4" style="0" width="11"/>
    <col collapsed="false" customWidth="true" hidden="false" outlineLevel="0" max="5" min="5" style="0" width="10"/>
    <col collapsed="false" customWidth="true" hidden="false" outlineLevel="0" max="6" min="6" style="0" width="12"/>
    <col collapsed="false" customWidth="true" hidden="false" outlineLevel="0" max="8" min="7" style="0" width="11"/>
    <col collapsed="false" customWidth="true" hidden="false" outlineLevel="0" max="9" min="9" style="0" width="10"/>
    <col collapsed="false" customWidth="true" hidden="false" outlineLevel="0" max="10" min="10" style="0" width="12"/>
    <col collapsed="false" customWidth="true" hidden="false" outlineLevel="0" max="12" min="11" style="0" width="11"/>
    <col collapsed="false" customWidth="true" hidden="false" outlineLevel="0" max="13" min="13" style="0" width="10"/>
    <col collapsed="false" customWidth="true" hidden="false" outlineLevel="0" max="14" min="14" style="0" width="12"/>
    <col collapsed="false" customWidth="true" hidden="false" outlineLevel="0" max="16" min="15" style="0" width="11"/>
    <col collapsed="false" customWidth="true" hidden="false" outlineLevel="0" max="17" min="17" style="0" width="10"/>
    <col collapsed="false" customWidth="true" hidden="false" outlineLevel="0" max="18" min="18" style="0" width="12"/>
    <col collapsed="false" customWidth="true" hidden="false" outlineLevel="0" max="20" min="19" style="0" width="11"/>
    <col collapsed="false" customWidth="true" hidden="false" outlineLevel="0" max="21" min="21" style="0" width="10"/>
    <col collapsed="false" customWidth="true" hidden="false" outlineLevel="0" max="22" min="22" style="0" width="12"/>
    <col collapsed="false" customWidth="true" hidden="false" outlineLevel="0" max="24" min="23" style="0" width="11"/>
    <col collapsed="false" customWidth="true" hidden="false" outlineLevel="0" max="25" min="25" style="0" width="10"/>
    <col collapsed="false" customWidth="true" hidden="false" outlineLevel="0" max="26" min="26" style="0" width="12"/>
    <col collapsed="false" customWidth="true" hidden="false" outlineLevel="0" max="27" min="27" style="0" width="11"/>
  </cols>
  <sheetData>
    <row r="1" customFormat="false" ht="22.05" hidden="false" customHeight="false" outlineLevel="0" collapsed="false">
      <c r="A1" s="41" t="s">
        <v>133</v>
      </c>
    </row>
    <row r="2" customFormat="false" ht="15" hidden="false" customHeight="false" outlineLevel="0" collapsed="false">
      <c r="A2" s="42" t="s">
        <v>134</v>
      </c>
    </row>
    <row r="3" customFormat="false" ht="15" hidden="false" customHeight="false" outlineLevel="0" collapsed="false">
      <c r="D3" s="67" t="str">
        <f aca="false">IF(Setup!B18="","Supplier 1",Setup!B18)</f>
        <v>MedSupply Gulf FZE</v>
      </c>
      <c r="E3" s="67"/>
      <c r="F3" s="67"/>
      <c r="G3" s="67"/>
      <c r="H3" s="68" t="str">
        <f aca="false">IF(Setup!B19="","Supplier 2",Setup!B19)</f>
        <v>Shanghai Medtech Co.</v>
      </c>
      <c r="I3" s="68"/>
      <c r="J3" s="68"/>
      <c r="K3" s="68"/>
      <c r="L3" s="67" t="str">
        <f aca="false">IF(Setup!B20="","Supplier 3",Setup!B20)</f>
        <v>Premier Surgical LLC</v>
      </c>
      <c r="M3" s="67"/>
      <c r="N3" s="67"/>
      <c r="O3" s="67"/>
      <c r="P3" s="68" t="str">
        <f aca="false">IF(Setup!B21="","Supplier 4",Setup!B21)</f>
        <v>Lion City Medical Pte</v>
      </c>
      <c r="Q3" s="68"/>
      <c r="R3" s="68"/>
      <c r="S3" s="68"/>
      <c r="T3" s="67" t="str">
        <f aca="false">IF(Setup!B22="","Supplier 5",Setup!B22)</f>
        <v>Bharat Surgicals Ltd</v>
      </c>
      <c r="U3" s="67"/>
      <c r="V3" s="67"/>
      <c r="W3" s="67"/>
      <c r="X3" s="68" t="str">
        <f aca="false">IF(Setup!B23="","Supplier 6",Setup!B23)</f>
        <v>Supplier 6</v>
      </c>
      <c r="Y3" s="68"/>
      <c r="Z3" s="68"/>
      <c r="AA3" s="68"/>
    </row>
    <row r="4" customFormat="false" ht="31.5" hidden="false" customHeight="true" outlineLevel="0" collapsed="false">
      <c r="A4" s="31" t="s">
        <v>53</v>
      </c>
      <c r="B4" s="32" t="s">
        <v>54</v>
      </c>
      <c r="C4" s="32" t="s">
        <v>55</v>
      </c>
      <c r="D4" s="32" t="s">
        <v>135</v>
      </c>
      <c r="E4" s="32" t="s">
        <v>136</v>
      </c>
      <c r="F4" s="32" t="s">
        <v>137</v>
      </c>
      <c r="G4" s="32" t="s">
        <v>138</v>
      </c>
      <c r="H4" s="32" t="s">
        <v>135</v>
      </c>
      <c r="I4" s="32" t="s">
        <v>136</v>
      </c>
      <c r="J4" s="32" t="s">
        <v>137</v>
      </c>
      <c r="K4" s="32" t="s">
        <v>138</v>
      </c>
      <c r="L4" s="32" t="s">
        <v>135</v>
      </c>
      <c r="M4" s="32" t="s">
        <v>136</v>
      </c>
      <c r="N4" s="32" t="s">
        <v>137</v>
      </c>
      <c r="O4" s="32" t="s">
        <v>138</v>
      </c>
      <c r="P4" s="32" t="s">
        <v>135</v>
      </c>
      <c r="Q4" s="32" t="s">
        <v>136</v>
      </c>
      <c r="R4" s="32" t="s">
        <v>137</v>
      </c>
      <c r="S4" s="32" t="s">
        <v>138</v>
      </c>
      <c r="T4" s="32" t="s">
        <v>135</v>
      </c>
      <c r="U4" s="32" t="s">
        <v>136</v>
      </c>
      <c r="V4" s="32" t="s">
        <v>137</v>
      </c>
      <c r="W4" s="32" t="s">
        <v>138</v>
      </c>
      <c r="X4" s="32" t="s">
        <v>135</v>
      </c>
      <c r="Y4" s="32" t="s">
        <v>136</v>
      </c>
      <c r="Z4" s="32" t="s">
        <v>137</v>
      </c>
      <c r="AA4" s="32" t="s">
        <v>138</v>
      </c>
    </row>
    <row r="5" customFormat="false" ht="15" hidden="false" customHeight="false" outlineLevel="0" collapsed="false">
      <c r="A5" s="33" t="n">
        <f aca="false">Setup!A27</f>
        <v>1</v>
      </c>
      <c r="B5" s="33" t="str">
        <f aca="false">Setup!B27</f>
        <v>Nitrile examination gloves, M (box of 100)</v>
      </c>
      <c r="C5" s="43" t="n">
        <f aca="false">Setup!D27</f>
        <v>12000</v>
      </c>
      <c r="D5" s="63" t="n">
        <v>5.61</v>
      </c>
      <c r="E5" s="63" t="n">
        <v>0.22</v>
      </c>
      <c r="F5" s="63" t="n">
        <v>0.44</v>
      </c>
      <c r="G5" s="69" t="n">
        <f aca="false">IF(D5="","",D5+E5+F5)</f>
        <v>6.27</v>
      </c>
      <c r="H5" s="63" t="n">
        <v>5.12</v>
      </c>
      <c r="I5" s="63" t="n">
        <v>0.33</v>
      </c>
      <c r="J5" s="63" t="n">
        <v>0.44</v>
      </c>
      <c r="K5" s="69" t="n">
        <f aca="false">IF(H5="","",H5+I5+J5)</f>
        <v>5.89</v>
      </c>
      <c r="L5" s="63" t="n">
        <v>5.94</v>
      </c>
      <c r="M5" s="63" t="n">
        <v>0.33</v>
      </c>
      <c r="N5" s="63" t="n">
        <v>0</v>
      </c>
      <c r="O5" s="69" t="n">
        <f aca="false">IF(L5="","",L5+M5+N5)</f>
        <v>6.27</v>
      </c>
      <c r="P5" s="63" t="n">
        <v>5.33</v>
      </c>
      <c r="Q5" s="63" t="n">
        <v>0.11</v>
      </c>
      <c r="R5" s="63" t="n">
        <v>0.44</v>
      </c>
      <c r="S5" s="69" t="n">
        <f aca="false">IF(P5="","",P5+Q5+R5)</f>
        <v>5.88</v>
      </c>
      <c r="T5" s="63" t="n">
        <v>4.51</v>
      </c>
      <c r="U5" s="63" t="n">
        <v>0.11</v>
      </c>
      <c r="V5" s="63" t="n">
        <v>0</v>
      </c>
      <c r="W5" s="69" t="n">
        <f aca="false">IF(T5="","",T5+U5+V5)</f>
        <v>4.62</v>
      </c>
      <c r="X5" s="63"/>
      <c r="Y5" s="63"/>
      <c r="Z5" s="63"/>
      <c r="AA5" s="69" t="str">
        <f aca="false">IF(X5="","",X5+Y5+Z5)</f>
        <v/>
      </c>
    </row>
    <row r="6" customFormat="false" ht="15" hidden="false" customHeight="false" outlineLevel="0" collapsed="false">
      <c r="A6" s="36" t="n">
        <f aca="false">Setup!A28</f>
        <v>2</v>
      </c>
      <c r="B6" s="36" t="str">
        <f aca="false">Setup!B28</f>
        <v>Surgical mask 3-ply, ear loop (box of 50)</v>
      </c>
      <c r="C6" s="45" t="n">
        <f aca="false">Setup!D28</f>
        <v>20000</v>
      </c>
      <c r="D6" s="66" t="n">
        <v>2.42</v>
      </c>
      <c r="E6" s="66" t="n">
        <v>0.1</v>
      </c>
      <c r="F6" s="66" t="n">
        <v>0</v>
      </c>
      <c r="G6" s="69" t="n">
        <f aca="false">IF(D6="","",D6+E6+F6)</f>
        <v>2.52</v>
      </c>
      <c r="H6" s="66" t="n">
        <v>2.52</v>
      </c>
      <c r="I6" s="66" t="n">
        <v>0.16</v>
      </c>
      <c r="J6" s="66" t="n">
        <v>0</v>
      </c>
      <c r="K6" s="69" t="n">
        <f aca="false">IF(H6="","",H6+I6+J6)</f>
        <v>2.68</v>
      </c>
      <c r="L6" s="66" t="n">
        <v>2.65</v>
      </c>
      <c r="M6" s="66" t="n">
        <v>0.05</v>
      </c>
      <c r="N6" s="66" t="n">
        <v>0</v>
      </c>
      <c r="O6" s="69" t="n">
        <f aca="false">IF(L6="","",L6+M6+N6)</f>
        <v>2.7</v>
      </c>
      <c r="P6" s="66" t="n">
        <v>2.81</v>
      </c>
      <c r="Q6" s="66" t="n">
        <v>0.05</v>
      </c>
      <c r="R6" s="66" t="n">
        <v>0.13</v>
      </c>
      <c r="S6" s="69" t="n">
        <f aca="false">IF(P6="","",P6+Q6+R6)</f>
        <v>2.99</v>
      </c>
      <c r="T6" s="66" t="n">
        <v>2.42</v>
      </c>
      <c r="U6" s="66" t="n">
        <v>0.05</v>
      </c>
      <c r="V6" s="66" t="n">
        <v>0.13</v>
      </c>
      <c r="W6" s="69" t="n">
        <f aca="false">IF(T6="","",T6+U6+V6)</f>
        <v>2.6</v>
      </c>
      <c r="X6" s="66"/>
      <c r="Y6" s="66"/>
      <c r="Z6" s="66"/>
      <c r="AA6" s="69" t="str">
        <f aca="false">IF(X6="","",X6+Y6+Z6)</f>
        <v/>
      </c>
    </row>
    <row r="7" customFormat="false" ht="15" hidden="false" customHeight="false" outlineLevel="0" collapsed="false">
      <c r="A7" s="33" t="n">
        <f aca="false">Setup!A29</f>
        <v>3</v>
      </c>
      <c r="B7" s="33" t="str">
        <f aca="false">Setup!B29</f>
        <v>Syringe 5 ml luer lock (box of 100)</v>
      </c>
      <c r="C7" s="43" t="n">
        <f aca="false">Setup!D29</f>
        <v>6000</v>
      </c>
      <c r="D7" s="63" t="n">
        <v>6.95</v>
      </c>
      <c r="E7" s="63" t="n">
        <v>0.16</v>
      </c>
      <c r="F7" s="63" t="n">
        <v>0</v>
      </c>
      <c r="G7" s="69" t="n">
        <f aca="false">IF(D7="","",D7+E7+F7)</f>
        <v>7.11</v>
      </c>
      <c r="H7" s="63" t="n">
        <v>8.06</v>
      </c>
      <c r="I7" s="63" t="n">
        <v>0.47</v>
      </c>
      <c r="J7" s="63" t="n">
        <v>0.4</v>
      </c>
      <c r="K7" s="69" t="n">
        <f aca="false">IF(H7="","",H7+I7+J7)</f>
        <v>8.93</v>
      </c>
      <c r="L7" s="63" t="n">
        <v>6.95</v>
      </c>
      <c r="M7" s="63" t="n">
        <v>0.16</v>
      </c>
      <c r="N7" s="63" t="n">
        <v>0</v>
      </c>
      <c r="O7" s="69" t="n">
        <f aca="false">IF(L7="","",L7+M7+N7)</f>
        <v>7.11</v>
      </c>
      <c r="P7" s="63" t="n">
        <v>6.48</v>
      </c>
      <c r="Q7" s="63" t="n">
        <v>0.16</v>
      </c>
      <c r="R7" s="63" t="n">
        <v>0</v>
      </c>
      <c r="S7" s="69" t="n">
        <f aca="false">IF(P7="","",P7+Q7+R7)</f>
        <v>6.64</v>
      </c>
      <c r="T7" s="63" t="n">
        <v>6.95</v>
      </c>
      <c r="U7" s="63" t="n">
        <v>0.16</v>
      </c>
      <c r="V7" s="63" t="n">
        <v>0.4</v>
      </c>
      <c r="W7" s="69" t="n">
        <f aca="false">IF(T7="","",T7+U7+V7)</f>
        <v>7.51</v>
      </c>
      <c r="X7" s="63"/>
      <c r="Y7" s="63"/>
      <c r="Z7" s="63"/>
      <c r="AA7" s="69" t="str">
        <f aca="false">IF(X7="","",X7+Y7+Z7)</f>
        <v/>
      </c>
    </row>
    <row r="8" customFormat="false" ht="15" hidden="false" customHeight="false" outlineLevel="0" collapsed="false">
      <c r="A8" s="36" t="n">
        <f aca="false">Setup!A30</f>
        <v>4</v>
      </c>
      <c r="B8" s="36" t="str">
        <f aca="false">Setup!B30</f>
        <v>IV cannula 20G with wings (box of 50)</v>
      </c>
      <c r="C8" s="45" t="n">
        <f aca="false">Setup!D30</f>
        <v>4000</v>
      </c>
      <c r="D8" s="66" t="n">
        <v>20.46</v>
      </c>
      <c r="E8" s="66" t="n">
        <v>0.44</v>
      </c>
      <c r="F8" s="66" t="n">
        <v>1.76</v>
      </c>
      <c r="G8" s="69" t="n">
        <f aca="false">IF(D8="","",D8+E8+F8)</f>
        <v>22.66</v>
      </c>
      <c r="H8" s="66" t="n">
        <v>23.76</v>
      </c>
      <c r="I8" s="66" t="n">
        <v>1.32</v>
      </c>
      <c r="J8" s="66" t="n">
        <v>0</v>
      </c>
      <c r="K8" s="69" t="n">
        <f aca="false">IF(H8="","",H8+I8+J8)</f>
        <v>25.08</v>
      </c>
      <c r="L8" s="66" t="n">
        <v>19.36</v>
      </c>
      <c r="M8" s="66" t="n">
        <v>1.32</v>
      </c>
      <c r="N8" s="66" t="n">
        <v>0</v>
      </c>
      <c r="O8" s="69" t="n">
        <f aca="false">IF(L8="","",L8+M8+N8)</f>
        <v>20.68</v>
      </c>
      <c r="P8" s="66" t="n">
        <v>21.34</v>
      </c>
      <c r="Q8" s="66" t="n">
        <v>0.88</v>
      </c>
      <c r="R8" s="66" t="n">
        <v>0</v>
      </c>
      <c r="S8" s="69" t="n">
        <f aca="false">IF(P8="","",P8+Q8+R8)</f>
        <v>22.22</v>
      </c>
      <c r="T8" s="66" t="n">
        <v>20.46</v>
      </c>
      <c r="U8" s="66" t="n">
        <v>0.88</v>
      </c>
      <c r="V8" s="66" t="n">
        <v>0</v>
      </c>
      <c r="W8" s="69" t="n">
        <f aca="false">IF(T8="","",T8+U8+V8)</f>
        <v>21.34</v>
      </c>
      <c r="X8" s="66"/>
      <c r="Y8" s="66"/>
      <c r="Z8" s="66"/>
      <c r="AA8" s="69" t="str">
        <f aca="false">IF(X8="","",X8+Y8+Z8)</f>
        <v/>
      </c>
    </row>
    <row r="9" customFormat="false" ht="15" hidden="false" customHeight="false" outlineLevel="0" collapsed="false">
      <c r="A9" s="33" t="n">
        <f aca="false">Setup!A31</f>
        <v>5</v>
      </c>
      <c r="B9" s="33" t="str">
        <f aca="false">Setup!B31</f>
        <v>Surgical gown, sterile, L (pack of 10)</v>
      </c>
      <c r="C9" s="43" t="n">
        <f aca="false">Setup!D31</f>
        <v>3000</v>
      </c>
      <c r="D9" s="63" t="n">
        <v>24.64</v>
      </c>
      <c r="E9" s="63" t="n">
        <v>1.12</v>
      </c>
      <c r="F9" s="63" t="n">
        <v>0</v>
      </c>
      <c r="G9" s="69" t="n">
        <f aca="false">IF(D9="","",D9+E9+F9)</f>
        <v>25.76</v>
      </c>
      <c r="H9" s="63" t="n">
        <v>26.04</v>
      </c>
      <c r="I9" s="63" t="n">
        <v>1.12</v>
      </c>
      <c r="J9" s="63" t="n">
        <v>2.24</v>
      </c>
      <c r="K9" s="69" t="n">
        <f aca="false">IF(H9="","",H9+I9+J9)</f>
        <v>29.4</v>
      </c>
      <c r="L9" s="63" t="n">
        <v>28.56</v>
      </c>
      <c r="M9" s="63" t="n">
        <v>0.56</v>
      </c>
      <c r="N9" s="63" t="n">
        <v>2.24</v>
      </c>
      <c r="O9" s="69" t="n">
        <f aca="false">IF(L9="","",L9+M9+N9)</f>
        <v>31.36</v>
      </c>
      <c r="P9" s="63" t="n">
        <v>30.24</v>
      </c>
      <c r="Q9" s="63" t="n">
        <v>1.68</v>
      </c>
      <c r="R9" s="63" t="n">
        <v>1.4</v>
      </c>
      <c r="S9" s="69" t="n">
        <f aca="false">IF(P9="","",P9+Q9+R9)</f>
        <v>33.32</v>
      </c>
      <c r="T9" s="63" t="n">
        <v>22.96</v>
      </c>
      <c r="U9" s="63" t="n">
        <v>1.12</v>
      </c>
      <c r="V9" s="63" t="n">
        <v>1.4</v>
      </c>
      <c r="W9" s="69" t="n">
        <f aca="false">IF(T9="","",T9+U9+V9)</f>
        <v>25.48</v>
      </c>
      <c r="X9" s="63"/>
      <c r="Y9" s="63"/>
      <c r="Z9" s="63"/>
      <c r="AA9" s="69" t="str">
        <f aca="false">IF(X9="","",X9+Y9+Z9)</f>
        <v/>
      </c>
    </row>
    <row r="10" customFormat="false" ht="15" hidden="false" customHeight="false" outlineLevel="0" collapsed="false">
      <c r="A10" s="36" t="n">
        <f aca="false">Setup!A32</f>
        <v>6</v>
      </c>
      <c r="B10" s="36" t="str">
        <f aca="false">Setup!B32</f>
        <v>Suture, absorbable 3-0, 75 cm (box of 12)</v>
      </c>
      <c r="C10" s="45" t="n">
        <f aca="false">Setup!D32</f>
        <v>2500</v>
      </c>
      <c r="D10" s="66" t="n">
        <v>42.78</v>
      </c>
      <c r="E10" s="66" t="n">
        <v>1.84</v>
      </c>
      <c r="F10" s="66" t="n">
        <v>3.68</v>
      </c>
      <c r="G10" s="69" t="n">
        <f aca="false">IF(D10="","",D10+E10+F10)</f>
        <v>48.3</v>
      </c>
      <c r="H10" s="66" t="n">
        <v>42.78</v>
      </c>
      <c r="I10" s="66" t="n">
        <v>0.92</v>
      </c>
      <c r="J10" s="66" t="n">
        <v>2.3</v>
      </c>
      <c r="K10" s="69" t="n">
        <f aca="false">IF(H10="","",H10+I10+J10)</f>
        <v>46</v>
      </c>
      <c r="L10" s="66" t="n">
        <v>44.62</v>
      </c>
      <c r="M10" s="66" t="n">
        <v>2.76</v>
      </c>
      <c r="N10" s="66" t="n">
        <v>0</v>
      </c>
      <c r="O10" s="69" t="n">
        <f aca="false">IF(L10="","",L10+M10+N10)</f>
        <v>47.38</v>
      </c>
      <c r="P10" s="66" t="n">
        <v>37.72</v>
      </c>
      <c r="Q10" s="66" t="n">
        <v>1.84</v>
      </c>
      <c r="R10" s="66" t="n">
        <v>0</v>
      </c>
      <c r="S10" s="69" t="n">
        <f aca="false">IF(P10="","",P10+Q10+R10)</f>
        <v>39.56</v>
      </c>
      <c r="T10" s="66" t="n">
        <v>49.68</v>
      </c>
      <c r="U10" s="66" t="n">
        <v>1.84</v>
      </c>
      <c r="V10" s="66" t="n">
        <v>2.3</v>
      </c>
      <c r="W10" s="69" t="n">
        <f aca="false">IF(T10="","",T10+U10+V10)</f>
        <v>53.82</v>
      </c>
      <c r="X10" s="66"/>
      <c r="Y10" s="66"/>
      <c r="Z10" s="66"/>
      <c r="AA10" s="69" t="str">
        <f aca="false">IF(X10="","",X10+Y10+Z10)</f>
        <v/>
      </c>
    </row>
    <row r="11" customFormat="false" ht="15" hidden="false" customHeight="false" outlineLevel="0" collapsed="false">
      <c r="A11" s="33" t="n">
        <f aca="false">Setup!A33</f>
        <v>7</v>
      </c>
      <c r="B11" s="33" t="str">
        <f aca="false">Setup!B33</f>
        <v>Foley catheter 16Fr silicone (each)</v>
      </c>
      <c r="C11" s="43" t="n">
        <f aca="false">Setup!D33</f>
        <v>8000</v>
      </c>
      <c r="D11" s="63" t="n">
        <v>2.62</v>
      </c>
      <c r="E11" s="63" t="n">
        <v>0.19</v>
      </c>
      <c r="F11" s="63" t="n">
        <v>0.16</v>
      </c>
      <c r="G11" s="69" t="n">
        <f aca="false">IF(D11="","",D11+E11+F11)</f>
        <v>2.97</v>
      </c>
      <c r="H11" s="63" t="n">
        <v>2.98</v>
      </c>
      <c r="I11" s="63" t="n">
        <v>0.13</v>
      </c>
      <c r="J11" s="63" t="n">
        <v>0.26</v>
      </c>
      <c r="K11" s="69" t="n">
        <f aca="false">IF(H11="","",H11+I11+J11)</f>
        <v>3.37</v>
      </c>
      <c r="L11" s="63" t="n">
        <v>2.62</v>
      </c>
      <c r="M11" s="63" t="n">
        <v>0.13</v>
      </c>
      <c r="N11" s="63" t="n">
        <v>0</v>
      </c>
      <c r="O11" s="69" t="n">
        <f aca="false">IF(L11="","",L11+M11+N11)</f>
        <v>2.75</v>
      </c>
      <c r="P11" s="63" t="n">
        <v>3.46</v>
      </c>
      <c r="Q11" s="63" t="n">
        <v>0.06</v>
      </c>
      <c r="R11" s="63" t="n">
        <v>0.26</v>
      </c>
      <c r="S11" s="69" t="n">
        <f aca="false">IF(P11="","",P11+Q11+R11)</f>
        <v>3.78</v>
      </c>
      <c r="T11" s="63" t="n">
        <v>2.82</v>
      </c>
      <c r="U11" s="63" t="n">
        <v>0.06</v>
      </c>
      <c r="V11" s="63" t="n">
        <v>0</v>
      </c>
      <c r="W11" s="69" t="n">
        <f aca="false">IF(T11="","",T11+U11+V11)</f>
        <v>2.88</v>
      </c>
      <c r="X11" s="63"/>
      <c r="Y11" s="63"/>
      <c r="Z11" s="63"/>
      <c r="AA11" s="69" t="str">
        <f aca="false">IF(X11="","",X11+Y11+Z11)</f>
        <v/>
      </c>
    </row>
    <row r="12" customFormat="false" ht="15" hidden="false" customHeight="false" outlineLevel="0" collapsed="false">
      <c r="A12" s="36" t="n">
        <f aca="false">Setup!A34</f>
        <v>8</v>
      </c>
      <c r="B12" s="36" t="str">
        <f aca="false">Setup!B34</f>
        <v>Sterile gauze swabs 10×10 cm (pack of 100)</v>
      </c>
      <c r="C12" s="45" t="n">
        <f aca="false">Setup!D34</f>
        <v>9000</v>
      </c>
      <c r="D12" s="66" t="n">
        <v>3.98</v>
      </c>
      <c r="E12" s="66" t="n">
        <v>0.16</v>
      </c>
      <c r="F12" s="66" t="n">
        <v>0.33</v>
      </c>
      <c r="G12" s="69" t="n">
        <f aca="false">IF(D12="","",D12+E12+F12)</f>
        <v>4.47</v>
      </c>
      <c r="H12" s="66"/>
      <c r="I12" s="66"/>
      <c r="J12" s="66"/>
      <c r="K12" s="69" t="str">
        <f aca="false">IF(H12="","",H12+I12+J12)</f>
        <v/>
      </c>
      <c r="L12" s="66" t="n">
        <v>3.81</v>
      </c>
      <c r="M12" s="66" t="n">
        <v>0.25</v>
      </c>
      <c r="N12" s="66" t="n">
        <v>0.2</v>
      </c>
      <c r="O12" s="69" t="n">
        <f aca="false">IF(L12="","",L12+M12+N12)</f>
        <v>4.26</v>
      </c>
      <c r="P12" s="66" t="n">
        <v>3.98</v>
      </c>
      <c r="Q12" s="66" t="n">
        <v>0.08</v>
      </c>
      <c r="R12" s="66" t="n">
        <v>0.33</v>
      </c>
      <c r="S12" s="69" t="n">
        <f aca="false">IF(P12="","",P12+Q12+R12)</f>
        <v>4.39</v>
      </c>
      <c r="T12" s="66" t="n">
        <v>4.43</v>
      </c>
      <c r="U12" s="66" t="n">
        <v>0.16</v>
      </c>
      <c r="V12" s="66" t="n">
        <v>0.2</v>
      </c>
      <c r="W12" s="69" t="n">
        <f aca="false">IF(T12="","",T12+U12+V12)</f>
        <v>4.79</v>
      </c>
      <c r="X12" s="66"/>
      <c r="Y12" s="66"/>
      <c r="Z12" s="66"/>
      <c r="AA12" s="69" t="str">
        <f aca="false">IF(X12="","",X12+Y12+Z12)</f>
        <v/>
      </c>
    </row>
    <row r="13" customFormat="false" ht="15" hidden="false" customHeight="false" outlineLevel="0" collapsed="false">
      <c r="A13" s="33" t="n">
        <f aca="false">Setup!A35</f>
        <v>9</v>
      </c>
      <c r="B13" s="33" t="str">
        <f aca="false">Setup!B35</f>
        <v>Surgical blade #11 (box of 100)</v>
      </c>
      <c r="C13" s="43" t="n">
        <f aca="false">Setup!D35</f>
        <v>1500</v>
      </c>
      <c r="D13" s="63" t="n">
        <v>7.79</v>
      </c>
      <c r="E13" s="63" t="n">
        <v>0.38</v>
      </c>
      <c r="F13" s="63" t="n">
        <v>0</v>
      </c>
      <c r="G13" s="69" t="n">
        <f aca="false">IF(D13="","",D13+E13+F13)</f>
        <v>8.17</v>
      </c>
      <c r="H13" s="63" t="n">
        <v>8.36</v>
      </c>
      <c r="I13" s="63" t="n">
        <v>0.38</v>
      </c>
      <c r="J13" s="63" t="n">
        <v>0.76</v>
      </c>
      <c r="K13" s="69" t="n">
        <f aca="false">IF(H13="","",H13+I13+J13)</f>
        <v>9.5</v>
      </c>
      <c r="L13" s="63" t="n">
        <v>9.69</v>
      </c>
      <c r="M13" s="63" t="n">
        <v>0.38</v>
      </c>
      <c r="N13" s="63" t="n">
        <v>0</v>
      </c>
      <c r="O13" s="69" t="n">
        <f aca="false">IF(L13="","",L13+M13+N13)</f>
        <v>10.07</v>
      </c>
      <c r="P13" s="63" t="n">
        <v>8.84</v>
      </c>
      <c r="Q13" s="63" t="n">
        <v>0.38</v>
      </c>
      <c r="R13" s="63" t="n">
        <v>0.76</v>
      </c>
      <c r="S13" s="69" t="n">
        <f aca="false">IF(P13="","",P13+Q13+R13)</f>
        <v>9.98</v>
      </c>
      <c r="T13" s="63" t="n">
        <v>9.69</v>
      </c>
      <c r="U13" s="63" t="n">
        <v>0.19</v>
      </c>
      <c r="V13" s="63" t="n">
        <v>0.48</v>
      </c>
      <c r="W13" s="69" t="n">
        <f aca="false">IF(T13="","",T13+U13+V13)</f>
        <v>10.36</v>
      </c>
      <c r="X13" s="63"/>
      <c r="Y13" s="63"/>
      <c r="Z13" s="63"/>
      <c r="AA13" s="69" t="str">
        <f aca="false">IF(X13="","",X13+Y13+Z13)</f>
        <v/>
      </c>
    </row>
    <row r="14" customFormat="false" ht="15" hidden="false" customHeight="false" outlineLevel="0" collapsed="false">
      <c r="A14" s="36" t="n">
        <f aca="false">Setup!A36</f>
        <v>10</v>
      </c>
      <c r="B14" s="36" t="str">
        <f aca="false">Setup!B36</f>
        <v>Alcohol swabs (box of 200)</v>
      </c>
      <c r="C14" s="45" t="n">
        <f aca="false">Setup!D36</f>
        <v>7000</v>
      </c>
      <c r="D14" s="66" t="n">
        <v>3.24</v>
      </c>
      <c r="E14" s="66" t="n">
        <v>0.12</v>
      </c>
      <c r="F14" s="66" t="n">
        <v>0.15</v>
      </c>
      <c r="G14" s="69" t="n">
        <f aca="false">IF(D14="","",D14+E14+F14)</f>
        <v>3.51</v>
      </c>
      <c r="H14" s="66" t="n">
        <v>2.64</v>
      </c>
      <c r="I14" s="66" t="n">
        <v>0.06</v>
      </c>
      <c r="J14" s="66" t="n">
        <v>0.24</v>
      </c>
      <c r="K14" s="69" t="n">
        <f aca="false">IF(H14="","",H14+I14+J14)</f>
        <v>2.94</v>
      </c>
      <c r="L14" s="66" t="n">
        <v>2.64</v>
      </c>
      <c r="M14" s="66" t="n">
        <v>0.18</v>
      </c>
      <c r="N14" s="66" t="n">
        <v>0.24</v>
      </c>
      <c r="O14" s="69" t="n">
        <f aca="false">IF(L14="","",L14+M14+N14)</f>
        <v>3.06</v>
      </c>
      <c r="P14" s="66" t="n">
        <v>2.79</v>
      </c>
      <c r="Q14" s="66" t="n">
        <v>0.12</v>
      </c>
      <c r="R14" s="66" t="n">
        <v>0</v>
      </c>
      <c r="S14" s="69" t="n">
        <f aca="false">IF(P14="","",P14+Q14+R14)</f>
        <v>2.91</v>
      </c>
      <c r="T14" s="66" t="n">
        <v>3.24</v>
      </c>
      <c r="U14" s="66" t="n">
        <v>0.06</v>
      </c>
      <c r="V14" s="66" t="n">
        <v>0</v>
      </c>
      <c r="W14" s="69" t="n">
        <f aca="false">IF(T14="","",T14+U14+V14)</f>
        <v>3.3</v>
      </c>
      <c r="X14" s="66"/>
      <c r="Y14" s="66"/>
      <c r="Z14" s="66"/>
      <c r="AA14" s="69" t="str">
        <f aca="false">IF(X14="","",X14+Y14+Z14)</f>
        <v/>
      </c>
    </row>
  </sheetData>
  <mergeCells count="6">
    <mergeCell ref="D3:G3"/>
    <mergeCell ref="H3:K3"/>
    <mergeCell ref="L3:O3"/>
    <mergeCell ref="P3:S3"/>
    <mergeCell ref="T3:W3"/>
    <mergeCell ref="X3:AA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2026-10-27T16:27:21Z</dcterms:created>
  <dc:creator>openpyxl</dc:creator>
  <dc:description/>
  <dc:language>en-US</dc:language>
  <cp:lastModifiedBy/>
  <dcterms:modified xsi:type="dcterms:W3CDTF">2026-10-27T20:27:23Z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