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Dashboard" sheetId="2" state="visible" r:id="rId4"/>
    <sheet name="Lists" sheetId="3" state="visible" r:id="rId5"/>
    <sheet name="Data" sheetId="4" state="visible" r:id="rId6"/>
    <sheet name="Cube" sheetId="5" state="visible" r:id="rId7"/>
    <sheet name="Vendors" sheetId="6" state="visible" r:id="rId8"/>
    <sheet name="Flags" sheetId="7" state="visible" r:id="rId9"/>
  </sheets>
  <definedNames>
    <definedName function="false" hidden="false" localSheetId="0" name="_xlnm.Print_Area" vbProcedure="false">Cover!$A$1:$J$40</definedName>
    <definedName function="false" hidden="false" localSheetId="1" name="_xlnm.Print_Area" vbProcedure="false">Dashboard!$A$1:$J$40</definedName>
    <definedName function="false" hidden="true" localSheetId="3" name="_xlnm._FilterDatabase" vbProcedure="false">Data!$A$4:$K$64</definedName>
    <definedName function="false" hidden="true" localSheetId="6" name="_xlnm._FilterDatabase" vbProcedure="false">Flags!$A$4:$L$64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<sst xmlns="http://schemas.openxmlformats.org/spreadsheetml/2006/main" count="483" uniqueCount="132">
  <si>
    <t xml:space="preserve">CONSULTING WALLAH · RESOURCES</t>
  </si>
  <si>
    <t xml:space="preserve">Spend Cube Template</t>
  </si>
  <si>
    <t xml:space="preserve">Turn PO and invoice lines into a category × site spend cube, a vendor Pareto,</t>
  </si>
  <si>
    <t xml:space="preserve">price-variance and contract-expiry flags, and a one-page dashboard.</t>
  </si>
  <si>
    <t xml:space="preserve">v1.0 · October 2026 · consultingwallah.com</t>
  </si>
  <si>
    <t xml:space="preserve">How to use</t>
  </si>
  <si>
    <t xml:space="preserve">1</t>
  </si>
  <si>
    <t xml:space="preserve">Paste your lines</t>
  </si>
  <si>
    <t xml:space="preserve">Copy PO or invoice lines into the Data tab, one row per line. Keep the headers. Delete the SAMPLE rows first.</t>
  </si>
  <si>
    <t xml:space="preserve">2</t>
  </si>
  <si>
    <t xml:space="preserve">Set your lists</t>
  </si>
  <si>
    <t xml:space="preserve">Type your sites and categories in Lists. The Data drop-downs read from there.</t>
  </si>
  <si>
    <t xml:space="preserve">3</t>
  </si>
  <si>
    <t xml:space="preserve">Read the dashboard</t>
  </si>
  <si>
    <t xml:space="preserve">Dashboard, Cube, Vendors and Flags recalculate on their own. Change the three yellow assumptions on Dashboard if needed.</t>
  </si>
  <si>
    <t xml:space="preserve">4</t>
  </si>
  <si>
    <t xml:space="preserve">Act on the flags</t>
  </si>
  <si>
    <t xml:space="preserve">Duplicate vendor names, price variance across sites and expiring contracts are usually the first savings.</t>
  </si>
  <si>
    <t xml:space="preserve">Legend</t>
  </si>
  <si>
    <t xml:space="preserve">Blue text</t>
  </si>
  <si>
    <t xml:space="preserve">Inputs you type</t>
  </si>
  <si>
    <t xml:space="preserve">Yellow fill</t>
  </si>
  <si>
    <t xml:space="preserve">Assumptions you may change</t>
  </si>
  <si>
    <t xml:space="preserve">Black text</t>
  </si>
  <si>
    <t xml:space="preserve">Formulas — leave as they are</t>
  </si>
  <si>
    <t xml:space="preserve">Sample data: 60 illustrative lines created by Consulting Wallah; not real hospital data. One currency per workbook (USD recommended).</t>
  </si>
  <si>
    <t xml:space="preserve">Want this run on your real data with benchmarks from 600+ verified suppliers?  Free executive assessment for leaders — consultingwallah.com · consultingwallah@gmail.com</t>
  </si>
  <si>
    <t xml:space="preserve">© Consulting Wallah. Free to use and share with attribution.</t>
  </si>
  <si>
    <t xml:space="preserve">SPEND CUBE · DASHBOARD</t>
  </si>
  <si>
    <t xml:space="preserve">Consulting Wallah Resources · consultingwallah.com</t>
  </si>
  <si>
    <t xml:space="preserve">As-of date (for expiry)</t>
  </si>
  <si>
    <t xml:space="preserve">Assumptions (yellow) — change as needed. Source: user inputs.</t>
  </si>
  <si>
    <t xml:space="preserve">Expiry window (days)</t>
  </si>
  <si>
    <t xml:space="preserve">Price-variance threshold</t>
  </si>
  <si>
    <t xml:space="preserve">TOTAL SPEND (USD)</t>
  </si>
  <si>
    <t xml:space="preserve">PO LINES</t>
  </si>
  <si>
    <t xml:space="preserve">ACTIVE VENDORS</t>
  </si>
  <si>
    <t xml:space="preserve">TOP-5 VENDOR SHARE</t>
  </si>
  <si>
    <t xml:space="preserve">LINES WITH PRICE VARIANCE</t>
  </si>
  <si>
    <t xml:space="preserve">SPEND ON FLAGGED LINES (USD)</t>
  </si>
  <si>
    <t xml:space="preserve">CONTRACTS EXPIRING</t>
  </si>
  <si>
    <t xml:space="preserve">CONTRACTS EXPIRED</t>
  </si>
  <si>
    <t xml:space="preserve">Largest category</t>
  </si>
  <si>
    <t xml:space="preserve">Share of total</t>
  </si>
  <si>
    <t xml:space="preserve">Reading the dashboard: top-5 vendor share above 60% = concentration risk · price variance above threshold for the same item across sites = first saving · expired contracts = buying at list price.</t>
  </si>
  <si>
    <t xml:space="preserve">Free executive assessment for leaders (worth USD 10,000) · consultingwallah.com · consultingwallah@gmail.com</t>
  </si>
  <si>
    <t xml:space="preserve">Lists</t>
  </si>
  <si>
    <t xml:space="preserve">Sites and categories that feed the Data drop-downs and the Cube.</t>
  </si>
  <si>
    <t xml:space="preserve">Sites</t>
  </si>
  <si>
    <t xml:space="preserve">Categories</t>
  </si>
  <si>
    <t xml:space="preserve">Abu Dhabi Main</t>
  </si>
  <si>
    <t xml:space="preserve">Pharmaceuticals</t>
  </si>
  <si>
    <t xml:space="preserve">Dubai Clinic</t>
  </si>
  <si>
    <t xml:space="preserve">Medical &amp; surgical consumables</t>
  </si>
  <si>
    <t xml:space="preserve">Al Ain</t>
  </si>
  <si>
    <t xml:space="preserve">Devices &amp; implants</t>
  </si>
  <si>
    <t xml:space="preserve">Sharjah</t>
  </si>
  <si>
    <t xml:space="preserve">Diagnostic &amp; imaging</t>
  </si>
  <si>
    <t xml:space="preserve">Lab reagents</t>
  </si>
  <si>
    <t xml:space="preserve">Hospital equipment</t>
  </si>
  <si>
    <t xml:space="preserve">PPE &amp; infection control</t>
  </si>
  <si>
    <t xml:space="preserve">Dental</t>
  </si>
  <si>
    <t xml:space="preserve">Capital equipment</t>
  </si>
  <si>
    <t xml:space="preserve">Biomedical &amp; facilities</t>
  </si>
  <si>
    <t xml:space="preserve">IT &amp; health-tech</t>
  </si>
  <si>
    <t xml:space="preserve">Logistics &amp; cold chain</t>
  </si>
  <si>
    <t xml:space="preserve">Data</t>
  </si>
  <si>
    <t xml:space="preserve">One row per PO / invoice line. Blue = type here. Amount is calculated.</t>
  </si>
  <si>
    <t xml:space="preserve">Date</t>
  </si>
  <si>
    <t xml:space="preserve">Site</t>
  </si>
  <si>
    <t xml:space="preserve">Vendor</t>
  </si>
  <si>
    <t xml:space="preserve">Category</t>
  </si>
  <si>
    <t xml:space="preserve">Item description</t>
  </si>
  <si>
    <t xml:space="preserve">Qty</t>
  </si>
  <si>
    <t xml:space="preserve">Unit</t>
  </si>
  <si>
    <t xml:space="preserve">Unit price</t>
  </si>
  <si>
    <t xml:space="preserve">Amount</t>
  </si>
  <si>
    <t xml:space="preserve">Contract end</t>
  </si>
  <si>
    <t xml:space="preserve">Notes</t>
  </si>
  <si>
    <t xml:space="preserve">CoolChain Logistics</t>
  </si>
  <si>
    <t xml:space="preserve">Cold-chain delivery (per trip)</t>
  </si>
  <si>
    <t xml:space="preserve">each</t>
  </si>
  <si>
    <t xml:space="preserve">SAMPLE</t>
  </si>
  <si>
    <t xml:space="preserve">Gulf Pharma Co</t>
  </si>
  <si>
    <t xml:space="preserve">Surgical mask 3-ply (box 50)</t>
  </si>
  <si>
    <t xml:space="preserve">Atorvastatin 20mg tab (box 30)</t>
  </si>
  <si>
    <t xml:space="preserve">Paracetamol 500mg tab (box of 100)</t>
  </si>
  <si>
    <t xml:space="preserve">ProtectWear Trading</t>
  </si>
  <si>
    <t xml:space="preserve">Isolation gown (pack 10)</t>
  </si>
  <si>
    <t xml:space="preserve">Imaging Partners</t>
  </si>
  <si>
    <t xml:space="preserve">Infusion pump</t>
  </si>
  <si>
    <t xml:space="preserve">Patient monitor 5-para</t>
  </si>
  <si>
    <t xml:space="preserve">Premier Surgical LLC</t>
  </si>
  <si>
    <t xml:space="preserve">Hip stem, cementless</t>
  </si>
  <si>
    <t xml:space="preserve">Diagnostix FZE</t>
  </si>
  <si>
    <t xml:space="preserve">CT contrast 100ml</t>
  </si>
  <si>
    <t xml:space="preserve">Safeline Medical</t>
  </si>
  <si>
    <t xml:space="preserve">Nitrile gloves M (box 100)</t>
  </si>
  <si>
    <t xml:space="preserve">Hand sanitiser 500ml</t>
  </si>
  <si>
    <t xml:space="preserve">Insulin glargine 100IU/ml pen</t>
  </si>
  <si>
    <t xml:space="preserve">OrthoTech ME</t>
  </si>
  <si>
    <t xml:space="preserve">Bone screw 4.5mm</t>
  </si>
  <si>
    <t xml:space="preserve">LabSupply Gulf</t>
  </si>
  <si>
    <t xml:space="preserve">HbA1c reagent kit</t>
  </si>
  <si>
    <t xml:space="preserve">Syringe 5ml luer lock (box 100)</t>
  </si>
  <si>
    <t xml:space="preserve">MedEquip Arabia</t>
  </si>
  <si>
    <t xml:space="preserve">Ultrasound gel 5L</t>
  </si>
  <si>
    <t xml:space="preserve">Arabian Medicare</t>
  </si>
  <si>
    <t xml:space="preserve">MedPharma Distribution</t>
  </si>
  <si>
    <t xml:space="preserve">CBC reagent pack</t>
  </si>
  <si>
    <t xml:space="preserve">Spend cube</t>
  </si>
  <si>
    <t xml:space="preserve">Category × site, USD. Share = category share of total.</t>
  </si>
  <si>
    <t xml:space="preserve">Total</t>
  </si>
  <si>
    <t xml:space="preserve">Share</t>
  </si>
  <si>
    <t xml:space="preserve">Site columns follow Lists!A5:A8. For more than four sites, add columns to the right with the same formula.</t>
  </si>
  <si>
    <t xml:space="preserve">Vendor Pareto</t>
  </si>
  <si>
    <t xml:space="preserve">Spend by vendor. Sort column B descending for the Pareto; a vendor spelled two ways appears twice.</t>
  </si>
  <si>
    <t xml:space="preserve">Spend (USD)</t>
  </si>
  <si>
    <t xml:space="preserve">Cumulative</t>
  </si>
  <si>
    <t xml:space="preserve">PO lines</t>
  </si>
  <si>
    <t xml:space="preserve">Avg line (USD)</t>
  </si>
  <si>
    <t xml:space="preserve">Rows 5–16 hold vendor names (blue). Insert rows above the Total line for more vendors.</t>
  </si>
  <si>
    <t xml:space="preserve">Flags</t>
  </si>
  <si>
    <t xml:space="preserve">Price variance vs the average price of the same item, and contract expiry against the Dashboard assumptions.</t>
  </si>
  <si>
    <t xml:space="preserve">Data row</t>
  </si>
  <si>
    <t xml:space="preserve">Item</t>
  </si>
  <si>
    <t xml:space="preserve">Avg price (item)</t>
  </si>
  <si>
    <t xml:space="preserve">Variance</t>
  </si>
  <si>
    <t xml:space="preserve">Price flag</t>
  </si>
  <si>
    <t xml:space="preserve">Days to expiry</t>
  </si>
  <si>
    <t xml:space="preserve">Expiry flag</t>
  </si>
  <si>
    <t xml:space="preserve">Rows cover Data rows 5–64. For more lines, copy the last row down.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</si>
</sst>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\-mmm\-yyyy"/>
    <numFmt numFmtId="166" formatCode="0%"/>
    <numFmt numFmtId="167" formatCode="#,##0"/>
    <numFmt numFmtId="168" formatCode="0.0%"/>
    <numFmt numFmtId="169" formatCode="dd\-mmm\-yy"/>
    <numFmt numFmtId="170" formatCode="#,##0.00"/>
    <numFmt numFmtId="171" formatCode="#,##0;\(#,##0\);\-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F6B00"/>
      <name val="Arial"/>
      <family val="0"/>
      <charset val="1"/>
    </font>
    <font>
      <b val="true"/>
      <sz val="26"/>
      <color rgb="FFFFFFFF"/>
      <name val="Arial"/>
      <family val="0"/>
      <charset val="1"/>
    </font>
    <font>
      <sz val="11"/>
      <color rgb="FFD6D2CB"/>
      <name val="Arial"/>
      <family val="0"/>
      <charset val="1"/>
    </font>
    <font>
      <sz val="9"/>
      <color rgb="FFA8A39B"/>
      <name val="Arial"/>
      <family val="0"/>
      <charset val="1"/>
    </font>
    <font>
      <b val="true"/>
      <sz val="13"/>
      <color rgb="FF0B0B0B"/>
      <name val="Arial"/>
      <family val="0"/>
      <charset val="1"/>
    </font>
    <font>
      <b val="true"/>
      <sz val="20"/>
      <color rgb="FFFF6B00"/>
      <name val="Arial"/>
      <family val="0"/>
      <charset val="1"/>
    </font>
    <font>
      <b val="true"/>
      <sz val="11"/>
      <color rgb="FF0B0B0B"/>
      <name val="Arial"/>
      <family val="0"/>
      <charset val="1"/>
    </font>
    <font>
      <sz val="10"/>
      <color rgb="FF3A3732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9"/>
      <color rgb="FF7A766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7A766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9"/>
      <color rgb="FFFF6B00"/>
      <name val="Arial"/>
      <family val="0"/>
      <charset val="1"/>
    </font>
    <font>
      <i val="true"/>
      <sz val="9"/>
      <color rgb="FF7A766F"/>
      <name val="Arial"/>
      <family val="0"/>
      <charset val="1"/>
    </font>
    <font>
      <b val="true"/>
      <sz val="8"/>
      <color rgb="FF7A766F"/>
      <name val="Arial"/>
      <family val="0"/>
      <charset val="1"/>
    </font>
    <font>
      <b val="true"/>
      <sz val="18"/>
      <color rgb="FFC94F00"/>
      <name val="Arial"/>
      <family val="0"/>
      <charset val="1"/>
    </font>
    <font>
      <b val="true"/>
      <sz val="18"/>
      <color rgb="FF0B0B0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7A766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B0B0B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B0B0B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0B0B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FF6B00"/>
        <bgColor rgb="FFFF9900"/>
      </patternFill>
    </fill>
    <fill>
      <patternFill patternType="solid">
        <fgColor rgb="FFFFF1E6"/>
        <bgColor rgb="FFF6F3EE"/>
      </patternFill>
    </fill>
    <fill>
      <patternFill patternType="solid">
        <fgColor rgb="FFF6F3EE"/>
        <bgColor rgb="FFFFF1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6E1D8"/>
      </left>
      <right style="thin">
        <color rgb="FFE6E1D8"/>
      </right>
      <top style="thin">
        <color rgb="FFE6E1D8"/>
      </top>
      <bottom style="thin">
        <color rgb="FFE6E1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3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0B0B0B"/>
          <bgColor rgb="FF000000"/>
        </patternFill>
      </fill>
    </dxf>
    <dxf>
      <fill>
        <patternFill patternType="solid">
          <fgColor rgb="FFF6F3E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6B00"/>
          <bgColor rgb="FF000000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FF6B00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0B0B0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6D2CB"/>
      <rgbColor rgb="FF878787"/>
      <rgbColor rgb="FF9999FF"/>
      <rgbColor rgb="FF993366"/>
      <rgbColor rgb="FFFFF1E6"/>
      <rgbColor rgb="FFF9F9F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3EE"/>
      <rgbColor rgb="FFE6E1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B00"/>
      <rgbColor rgb="FF7A766F"/>
      <rgbColor rgb="FFA8A39B"/>
      <rgbColor rgb="FF003366"/>
      <rgbColor rgb="FF339966"/>
      <rgbColor rgb="FF0B0B0B"/>
      <rgbColor rgb="FF333300"/>
      <rgbColor rgb="FFC94F00"/>
      <rgbColor rgb="FF993366"/>
      <rgbColor rgb="FF333399"/>
      <rgbColor rgb="FF3A37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Spend by category (USD)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Cube!F4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ff6b00"/>
            </a:solidFill>
            <a:ln w="9360">
              <a:solidFill>
                <a:srgbClr val="ff6b0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Cube!$A$5:$A$16</c:f>
              <c:strCache>
                <c:ptCount val="12"/>
                <c:pt idx="0">
                  <c:v>Pharmaceuticals</c:v>
                </c:pt>
                <c:pt idx="1">
                  <c:v>Medical &amp; surgical consumables</c:v>
                </c:pt>
                <c:pt idx="2">
                  <c:v>Devices &amp; implants</c:v>
                </c:pt>
                <c:pt idx="3">
                  <c:v>Diagnostic &amp; imaging</c:v>
                </c:pt>
                <c:pt idx="4">
                  <c:v>Lab reagents</c:v>
                </c:pt>
                <c:pt idx="5">
                  <c:v>Hospital equipment</c:v>
                </c:pt>
                <c:pt idx="6">
                  <c:v>PPE &amp; infection control</c:v>
                </c:pt>
                <c:pt idx="7">
                  <c:v>Dental</c:v>
                </c:pt>
                <c:pt idx="8">
                  <c:v>Capital equipment</c:v>
                </c:pt>
                <c:pt idx="9">
                  <c:v>Biomedical &amp; facilities</c:v>
                </c:pt>
                <c:pt idx="10">
                  <c:v>IT &amp; health-tech</c:v>
                </c:pt>
                <c:pt idx="11">
                  <c:v>Logistics &amp; cold chain</c:v>
                </c:pt>
              </c:strCache>
            </c:strRef>
          </c:cat>
          <c:val>
            <c:numRef>
              <c:f>Cube!$F$5:$F$16</c:f>
              <c:numCache>
                <c:formatCode>#,##0;\(#,##0\);\-</c:formatCode>
                <c:ptCount val="12"/>
                <c:pt idx="0">
                  <c:v>8397.6</c:v>
                </c:pt>
                <c:pt idx="1">
                  <c:v>3381.45</c:v>
                </c:pt>
                <c:pt idx="2">
                  <c:v>29936.7</c:v>
                </c:pt>
                <c:pt idx="3">
                  <c:v>4407.6</c:v>
                </c:pt>
                <c:pt idx="4">
                  <c:v>9155.1</c:v>
                </c:pt>
                <c:pt idx="5">
                  <c:v>21227.5</c:v>
                </c:pt>
                <c:pt idx="6">
                  <c:v>5560.35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3621.6</c:v>
                </c:pt>
              </c:numCache>
            </c:numRef>
          </c:val>
        </c:ser>
        <c:gapWidth val="150"/>
        <c:overlap val="0"/>
        <c:axId val="61984989"/>
        <c:axId val="17065276"/>
      </c:barChart>
      <c:catAx>
        <c:axId val="619849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065276"/>
        <c:crosses val="autoZero"/>
        <c:auto val="1"/>
        <c:lblAlgn val="ctr"/>
        <c:lblOffset val="100"/>
        <c:noMultiLvlLbl val="0"/>
      </c:catAx>
      <c:valAx>
        <c:axId val="1706527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98498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Spend by vendor (USD)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Vendors!B4</c:f>
              <c:strCache>
                <c:ptCount val="1"/>
                <c:pt idx="0">
                  <c:v>Spend (USD)</c:v>
                </c:pt>
              </c:strCache>
            </c:strRef>
          </c:tx>
          <c:spPr>
            <a:solidFill>
              <a:srgbClr val="0b0b0b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Vendors!$A$5:$A$16</c:f>
              <c:strCache>
                <c:ptCount val="12"/>
                <c:pt idx="0">
                  <c:v>Arabian Medicare</c:v>
                </c:pt>
                <c:pt idx="1">
                  <c:v>CoolChain Logistics</c:v>
                </c:pt>
                <c:pt idx="2">
                  <c:v>Diagnostix FZE</c:v>
                </c:pt>
                <c:pt idx="3">
                  <c:v>Gulf Pharma Co</c:v>
                </c:pt>
                <c:pt idx="4">
                  <c:v>Imaging Partners</c:v>
                </c:pt>
                <c:pt idx="5">
                  <c:v>LabSupply Gulf</c:v>
                </c:pt>
                <c:pt idx="6">
                  <c:v>MedEquip Arabia</c:v>
                </c:pt>
                <c:pt idx="7">
                  <c:v>MedPharma Distribution</c:v>
                </c:pt>
                <c:pt idx="8">
                  <c:v>OrthoTech ME</c:v>
                </c:pt>
                <c:pt idx="9">
                  <c:v>Premier Surgical LLC</c:v>
                </c:pt>
                <c:pt idx="10">
                  <c:v>ProtectWear Trading</c:v>
                </c:pt>
                <c:pt idx="11">
                  <c:v>Safeline Medical</c:v>
                </c:pt>
              </c:strCache>
            </c:strRef>
          </c:cat>
          <c:val>
            <c:numRef>
              <c:f>Vendors!$B$5:$B$16</c:f>
              <c:numCache>
                <c:formatCode>#,##0;\(#,##0\);\-</c:formatCode>
                <c:ptCount val="12"/>
                <c:pt idx="0">
                  <c:v>1400</c:v>
                </c:pt>
                <c:pt idx="1">
                  <c:v>3621.6</c:v>
                </c:pt>
                <c:pt idx="2">
                  <c:v>7524.5</c:v>
                </c:pt>
                <c:pt idx="3">
                  <c:v>4375.55</c:v>
                </c:pt>
                <c:pt idx="4">
                  <c:v>12720.2</c:v>
                </c:pt>
                <c:pt idx="5">
                  <c:v>5754</c:v>
                </c:pt>
                <c:pt idx="6">
                  <c:v>8791.5</c:v>
                </c:pt>
                <c:pt idx="7">
                  <c:v>3181</c:v>
                </c:pt>
                <c:pt idx="8">
                  <c:v>15478.7</c:v>
                </c:pt>
                <c:pt idx="9">
                  <c:v>14471.5</c:v>
                </c:pt>
                <c:pt idx="10">
                  <c:v>4957</c:v>
                </c:pt>
                <c:pt idx="11">
                  <c:v>3412.35</c:v>
                </c:pt>
              </c:numCache>
            </c:numRef>
          </c:val>
        </c:ser>
        <c:gapWidth val="150"/>
        <c:overlap val="0"/>
        <c:axId val="17498883"/>
        <c:axId val="21612634"/>
      </c:barChart>
      <c:catAx>
        <c:axId val="174988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612634"/>
        <c:crosses val="autoZero"/>
        <c:auto val="1"/>
        <c:lblAlgn val="ctr"/>
        <c:lblOffset val="100"/>
        <c:noMultiLvlLbl val="0"/>
      </c:catAx>
      <c:valAx>
        <c:axId val="2161263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49888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533160</xdr:colOff>
      <xdr:row>3</xdr:row>
      <xdr:rowOff>75960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228600"/>
          <a:ext cx="533160" cy="533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18</xdr:row>
      <xdr:rowOff>0</xdr:rowOff>
    </xdr:from>
    <xdr:to>
      <xdr:col>5</xdr:col>
      <xdr:colOff>747720</xdr:colOff>
      <xdr:row>35</xdr:row>
      <xdr:rowOff>1080</xdr:rowOff>
    </xdr:to>
    <xdr:graphicFrame>
      <xdr:nvGraphicFramePr>
        <xdr:cNvPr id="1" name="Chart 1"/>
        <xdr:cNvGraphicFramePr/>
      </xdr:nvGraphicFramePr>
      <xdr:xfrm>
        <a:off x="141120" y="3867120"/>
        <a:ext cx="53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18</xdr:row>
      <xdr:rowOff>0</xdr:rowOff>
    </xdr:from>
    <xdr:to>
      <xdr:col>9</xdr:col>
      <xdr:colOff>888480</xdr:colOff>
      <xdr:row>35</xdr:row>
      <xdr:rowOff>1080</xdr:rowOff>
    </xdr:to>
    <xdr:graphicFrame>
      <xdr:nvGraphicFramePr>
        <xdr:cNvPr id="2" name="Chart 2"/>
        <xdr:cNvGraphicFramePr/>
      </xdr:nvGraphicFramePr>
      <xdr:xfrm>
        <a:off x="4793040" y="3867120"/>
        <a:ext cx="53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533160</xdr:colOff>
      <xdr:row>1</xdr:row>
      <xdr:rowOff>257040</xdr:rowOff>
    </xdr:to>
    <xdr:pic>
      <xdr:nvPicPr>
        <xdr:cNvPr id="3" name="Image 3" descr="Picture"/>
        <xdr:cNvPicPr/>
      </xdr:nvPicPr>
      <xdr:blipFill>
        <a:blip r:embed="rId3"/>
        <a:stretch/>
      </xdr:blipFill>
      <xdr:spPr>
        <a:xfrm>
          <a:off x="9304200" y="0"/>
          <a:ext cx="533160" cy="533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9" min="2" style="0" width="14"/>
    <col collapsed="false" customWidth="true" hidden="false" outlineLevel="0" max="10" min="10" style="0" width="3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18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false" ht="18" hidden="false" customHeight="true" outlineLevel="0" collapsed="false">
      <c r="A3" s="1"/>
      <c r="B3" s="1"/>
      <c r="C3" s="1"/>
      <c r="D3" s="2" t="s">
        <v>0</v>
      </c>
      <c r="E3" s="1"/>
      <c r="F3" s="1"/>
      <c r="G3" s="1"/>
      <c r="H3" s="1"/>
      <c r="I3" s="1"/>
      <c r="J3" s="1"/>
    </row>
    <row r="4" customFormat="false" ht="18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6" hidden="false" customHeight="true" outlineLevel="0" collapsed="false">
      <c r="A5" s="1"/>
      <c r="B5" s="1"/>
      <c r="C5" s="1"/>
      <c r="D5" s="3" t="s">
        <v>1</v>
      </c>
      <c r="E5" s="1"/>
      <c r="F5" s="1"/>
      <c r="G5" s="1"/>
      <c r="H5" s="1"/>
      <c r="I5" s="1"/>
      <c r="J5" s="1"/>
    </row>
    <row r="6" customFormat="false" ht="18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</row>
    <row r="7" customFormat="false" ht="18" hidden="false" customHeight="true" outlineLevel="0" collapsed="false">
      <c r="A7" s="1"/>
      <c r="B7" s="1"/>
      <c r="C7" s="1"/>
      <c r="D7" s="4" t="s">
        <v>2</v>
      </c>
      <c r="E7" s="1"/>
      <c r="F7" s="1"/>
      <c r="G7" s="1"/>
      <c r="H7" s="1"/>
      <c r="I7" s="1"/>
      <c r="J7" s="1"/>
    </row>
    <row r="8" customFormat="false" ht="18" hidden="false" customHeight="true" outlineLevel="0" collapsed="false">
      <c r="A8" s="1"/>
      <c r="B8" s="1"/>
      <c r="C8" s="1"/>
      <c r="D8" s="4" t="s">
        <v>3</v>
      </c>
      <c r="E8" s="1"/>
      <c r="F8" s="1"/>
      <c r="G8" s="1"/>
      <c r="H8" s="1"/>
      <c r="I8" s="1"/>
      <c r="J8" s="1"/>
    </row>
    <row r="9" customFormat="false" ht="18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</row>
    <row r="10" customFormat="false" ht="18" hidden="false" customHeight="true" outlineLevel="0" collapsed="false">
      <c r="A10" s="1"/>
      <c r="B10" s="1"/>
      <c r="C10" s="1"/>
      <c r="D10" s="5" t="s">
        <v>4</v>
      </c>
      <c r="E10" s="1"/>
      <c r="F10" s="1"/>
      <c r="G10" s="1"/>
      <c r="H10" s="1"/>
      <c r="I10" s="1"/>
      <c r="J10" s="1"/>
    </row>
    <row r="11" customFormat="false" ht="18" hidden="false" customHeight="tru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customFormat="false" ht="18" hidden="false" customHeight="tru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customFormat="false" ht="18" hidden="false" customHeight="true" outlineLevel="0" collapsed="false"/>
    <row r="14" customFormat="false" ht="18" hidden="false" customHeight="true" outlineLevel="0" collapsed="false">
      <c r="B14" s="6" t="s">
        <v>5</v>
      </c>
    </row>
    <row r="15" customFormat="false" ht="18" hidden="false" customHeight="true" outlineLevel="0" collapsed="false"/>
    <row r="16" customFormat="false" ht="18" hidden="false" customHeight="true" outlineLevel="0" collapsed="false">
      <c r="B16" s="7" t="s">
        <v>6</v>
      </c>
      <c r="C16" s="8" t="s">
        <v>7</v>
      </c>
    </row>
    <row r="17" customFormat="false" ht="18" hidden="false" customHeight="true" outlineLevel="0" collapsed="false">
      <c r="C17" s="9" t="s">
        <v>8</v>
      </c>
    </row>
    <row r="18" customFormat="false" ht="18" hidden="false" customHeight="true" outlineLevel="0" collapsed="false"/>
    <row r="19" customFormat="false" ht="18" hidden="false" customHeight="true" outlineLevel="0" collapsed="false">
      <c r="B19" s="7" t="s">
        <v>9</v>
      </c>
      <c r="C19" s="8" t="s">
        <v>10</v>
      </c>
    </row>
    <row r="20" customFormat="false" ht="18" hidden="false" customHeight="true" outlineLevel="0" collapsed="false">
      <c r="C20" s="9" t="s">
        <v>11</v>
      </c>
    </row>
    <row r="21" customFormat="false" ht="18" hidden="false" customHeight="true" outlineLevel="0" collapsed="false"/>
    <row r="22" customFormat="false" ht="18" hidden="false" customHeight="true" outlineLevel="0" collapsed="false">
      <c r="B22" s="7" t="s">
        <v>12</v>
      </c>
      <c r="C22" s="8" t="s">
        <v>13</v>
      </c>
    </row>
    <row r="23" customFormat="false" ht="18" hidden="false" customHeight="true" outlineLevel="0" collapsed="false">
      <c r="C23" s="9" t="s">
        <v>14</v>
      </c>
    </row>
    <row r="24" customFormat="false" ht="18" hidden="false" customHeight="true" outlineLevel="0" collapsed="false"/>
    <row r="25" customFormat="false" ht="18" hidden="false" customHeight="true" outlineLevel="0" collapsed="false">
      <c r="B25" s="7" t="s">
        <v>15</v>
      </c>
      <c r="C25" s="8" t="s">
        <v>16</v>
      </c>
    </row>
    <row r="26" customFormat="false" ht="18" hidden="false" customHeight="true" outlineLevel="0" collapsed="false">
      <c r="C26" s="9" t="s">
        <v>17</v>
      </c>
    </row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>
      <c r="B29" s="6" t="s">
        <v>18</v>
      </c>
    </row>
    <row r="30" customFormat="false" ht="18" hidden="false" customHeight="true" outlineLevel="0" collapsed="false">
      <c r="B30" s="10" t="s">
        <v>19</v>
      </c>
      <c r="C30" s="9" t="s">
        <v>20</v>
      </c>
    </row>
    <row r="31" customFormat="false" ht="18" hidden="false" customHeight="true" outlineLevel="0" collapsed="false">
      <c r="B31" s="11" t="s">
        <v>21</v>
      </c>
      <c r="C31" s="9" t="s">
        <v>22</v>
      </c>
    </row>
    <row r="32" customFormat="false" ht="18" hidden="false" customHeight="true" outlineLevel="0" collapsed="false">
      <c r="B32" s="12" t="s">
        <v>23</v>
      </c>
      <c r="C32" s="9" t="s">
        <v>24</v>
      </c>
    </row>
    <row r="33" customFormat="false" ht="18" hidden="false" customHeight="true" outlineLevel="0" collapsed="false"/>
    <row r="34" customFormat="false" ht="18" hidden="false" customHeight="true" outlineLevel="0" collapsed="false">
      <c r="B34" s="13" t="s">
        <v>25</v>
      </c>
    </row>
    <row r="35" customFormat="false" ht="18" hidden="false" customHeight="true" outlineLevel="0" collapsed="false"/>
    <row r="36" customFormat="false" ht="18" hidden="false" customHeight="true" outlineLevel="0" collapsed="false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customFormat="false" ht="18" hidden="false" customHeight="true" outlineLevel="0" collapsed="false">
      <c r="A37" s="14"/>
      <c r="B37" s="15" t="s">
        <v>26</v>
      </c>
      <c r="C37" s="14"/>
      <c r="D37" s="14"/>
      <c r="E37" s="14"/>
      <c r="F37" s="14"/>
      <c r="G37" s="14"/>
      <c r="H37" s="14"/>
      <c r="I37" s="14"/>
      <c r="J37" s="14"/>
    </row>
    <row r="38" customFormat="false" ht="18" hidden="false" customHeight="true" outlineLevel="0" collapsed="false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customFormat="false" ht="18" hidden="false" customHeight="true" outlineLevel="0" collapsed="false">
      <c r="B39" s="16" t="s">
        <v>27</v>
      </c>
    </row>
    <row r="40" customFormat="false" ht="18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10" min="5" style="0" width="16"/>
  </cols>
  <sheetData>
    <row r="1" customFormat="false" ht="21.75" hidden="false" customHeight="true" outlineLevel="0" collapsed="false">
      <c r="A1" s="1"/>
      <c r="B1" s="17" t="s">
        <v>28</v>
      </c>
      <c r="C1" s="1"/>
      <c r="D1" s="1"/>
      <c r="E1" s="1"/>
      <c r="F1" s="1"/>
      <c r="G1" s="1"/>
      <c r="H1" s="1"/>
      <c r="I1" s="1"/>
      <c r="J1" s="1"/>
    </row>
    <row r="2" customFormat="false" ht="21.75" hidden="false" customHeight="true" outlineLevel="0" collapsed="false">
      <c r="A2" s="1"/>
      <c r="B2" s="18" t="s">
        <v>29</v>
      </c>
      <c r="C2" s="1"/>
      <c r="D2" s="1"/>
      <c r="E2" s="1"/>
      <c r="F2" s="1"/>
      <c r="G2" s="1"/>
      <c r="H2" s="1"/>
      <c r="I2" s="1"/>
      <c r="J2" s="1"/>
    </row>
    <row r="4" customFormat="false" ht="15" hidden="false" customHeight="false" outlineLevel="0" collapsed="false">
      <c r="B4" s="9" t="s">
        <v>30</v>
      </c>
      <c r="C4" s="19" t="n">
        <v>46322</v>
      </c>
      <c r="E4" s="20" t="s">
        <v>31</v>
      </c>
    </row>
    <row r="5" customFormat="false" ht="15" hidden="false" customHeight="false" outlineLevel="0" collapsed="false">
      <c r="B5" s="9" t="s">
        <v>32</v>
      </c>
      <c r="C5" s="21" t="n">
        <v>90</v>
      </c>
    </row>
    <row r="6" customFormat="false" ht="15" hidden="false" customHeight="false" outlineLevel="0" collapsed="false">
      <c r="B6" s="9" t="s">
        <v>33</v>
      </c>
      <c r="C6" s="22" t="n">
        <v>0.1</v>
      </c>
    </row>
    <row r="8" customFormat="false" ht="15" hidden="false" customHeight="false" outlineLevel="0" collapsed="false">
      <c r="B8" s="23" t="s">
        <v>34</v>
      </c>
      <c r="C8" s="24"/>
      <c r="E8" s="25" t="s">
        <v>35</v>
      </c>
      <c r="F8" s="26"/>
      <c r="G8" s="25" t="s">
        <v>36</v>
      </c>
      <c r="H8" s="26"/>
      <c r="I8" s="25" t="s">
        <v>37</v>
      </c>
      <c r="J8" s="26"/>
    </row>
    <row r="9" customFormat="false" ht="25.5" hidden="false" customHeight="true" outlineLevel="0" collapsed="false">
      <c r="B9" s="27" t="n">
        <f aca="false">SUM(Data!I:I)</f>
        <v>85687.9</v>
      </c>
      <c r="C9" s="24"/>
      <c r="E9" s="28" t="n">
        <f aca="false">COUNTA(Data!C:C)-1</f>
        <v>60</v>
      </c>
      <c r="F9" s="26"/>
      <c r="G9" s="28" t="n">
        <f aca="false">COUNTIF(Vendors!B5:B16,"&gt;0")</f>
        <v>12</v>
      </c>
      <c r="H9" s="26"/>
      <c r="I9" s="29" t="n">
        <f aca="false">IFERROR((LARGE(Vendors!B5:B16,1)+LARGE(Vendors!B5:B16,2)+LARGE(Vendors!B5:B16,3)+LARGE(Vendors!B5:B16,4)+LARGE(Vendors!B5:B16,5))/SUM(Data!I:I),0)</f>
        <v>0.688386575000671</v>
      </c>
      <c r="J9" s="26"/>
    </row>
    <row r="10" customFormat="false" ht="15" hidden="false" customHeight="false" outlineLevel="0" collapsed="false">
      <c r="B10" s="24"/>
      <c r="C10" s="24"/>
      <c r="E10" s="26"/>
      <c r="F10" s="26"/>
      <c r="G10" s="26"/>
      <c r="H10" s="26"/>
      <c r="I10" s="26"/>
      <c r="J10" s="26"/>
    </row>
    <row r="12" customFormat="false" ht="15" hidden="false" customHeight="false" outlineLevel="0" collapsed="false">
      <c r="B12" s="23" t="s">
        <v>38</v>
      </c>
      <c r="C12" s="24"/>
      <c r="E12" s="25" t="s">
        <v>39</v>
      </c>
      <c r="F12" s="26"/>
      <c r="G12" s="25" t="s">
        <v>40</v>
      </c>
      <c r="H12" s="26"/>
      <c r="I12" s="25" t="s">
        <v>41</v>
      </c>
      <c r="J12" s="26"/>
    </row>
    <row r="13" customFormat="false" ht="25.5" hidden="false" customHeight="true" outlineLevel="0" collapsed="false">
      <c r="B13" s="27" t="n">
        <f aca="false">COUNTIF(Flags!I5:I64,"CHECK")</f>
        <v>20</v>
      </c>
      <c r="C13" s="24"/>
      <c r="E13" s="28" t="n">
        <f aca="false">SUMIFS(Data!I5:I64,Flags!I5:I64,"CHECK")</f>
        <v>27361.9</v>
      </c>
      <c r="F13" s="26"/>
      <c r="G13" s="28" t="n">
        <f aca="false">COUNTIF(Flags!L5:L64,"EXPIRING")</f>
        <v>6</v>
      </c>
      <c r="H13" s="26"/>
      <c r="I13" s="28" t="n">
        <f aca="false">COUNTIF(Flags!L5:L64,"EXPIRED")</f>
        <v>22</v>
      </c>
      <c r="J13" s="26"/>
    </row>
    <row r="14" customFormat="false" ht="15" hidden="false" customHeight="false" outlineLevel="0" collapsed="false">
      <c r="B14" s="24"/>
      <c r="C14" s="24"/>
      <c r="E14" s="26"/>
      <c r="F14" s="26"/>
      <c r="G14" s="26"/>
      <c r="H14" s="26"/>
      <c r="I14" s="26"/>
      <c r="J14" s="26"/>
    </row>
    <row r="16" customFormat="false" ht="15" hidden="false" customHeight="false" outlineLevel="0" collapsed="false">
      <c r="B16" s="9" t="s">
        <v>42</v>
      </c>
      <c r="C16" s="12" t="str">
        <f aca="false">INDEX(Cube!A5:A16,MATCH(MAX(Cube!F5:F16),Cube!F5:F16,0))</f>
        <v>Devices &amp; implants</v>
      </c>
    </row>
    <row r="17" customFormat="false" ht="15" hidden="false" customHeight="false" outlineLevel="0" collapsed="false">
      <c r="B17" s="9" t="s">
        <v>43</v>
      </c>
      <c r="C17" s="30" t="n">
        <f aca="false">MAX(Cube!G5:G16)</f>
        <v>0.349369047438436</v>
      </c>
    </row>
    <row r="38" customFormat="false" ht="15" hidden="false" customHeight="false" outlineLevel="0" collapsed="false">
      <c r="B38" s="20" t="s">
        <v>44</v>
      </c>
    </row>
    <row r="40" customFormat="false" ht="21.75" hidden="false" customHeight="true" outlineLevel="0" collapsed="false">
      <c r="A40" s="14"/>
      <c r="B40" s="31" t="s">
        <v>45</v>
      </c>
      <c r="C40" s="14"/>
      <c r="D40" s="14"/>
      <c r="E40" s="14"/>
      <c r="F40" s="14"/>
      <c r="G40" s="14"/>
      <c r="H40" s="14"/>
      <c r="I40" s="14"/>
      <c r="J4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6"/>
  </cols>
  <sheetData>
    <row r="1" customFormat="false" ht="22.05" hidden="false" customHeight="false" outlineLevel="0" collapsed="false">
      <c r="A1" s="32" t="s">
        <v>46</v>
      </c>
    </row>
    <row r="2" customFormat="false" ht="15" hidden="false" customHeight="false" outlineLevel="0" collapsed="false">
      <c r="A2" s="33" t="s">
        <v>47</v>
      </c>
    </row>
    <row r="4" customFormat="false" ht="30" hidden="false" customHeight="true" outlineLevel="0" collapsed="false">
      <c r="A4" s="34" t="s">
        <v>48</v>
      </c>
      <c r="B4" s="35" t="s">
        <v>49</v>
      </c>
    </row>
    <row r="5" customFormat="false" ht="15" hidden="false" customHeight="false" outlineLevel="0" collapsed="false">
      <c r="A5" s="36" t="s">
        <v>50</v>
      </c>
      <c r="B5" s="36" t="s">
        <v>51</v>
      </c>
    </row>
    <row r="6" customFormat="false" ht="15" hidden="false" customHeight="false" outlineLevel="0" collapsed="false">
      <c r="A6" s="37" t="s">
        <v>52</v>
      </c>
      <c r="B6" s="37" t="s">
        <v>53</v>
      </c>
    </row>
    <row r="7" customFormat="false" ht="15" hidden="false" customHeight="false" outlineLevel="0" collapsed="false">
      <c r="A7" s="36" t="s">
        <v>54</v>
      </c>
      <c r="B7" s="36" t="s">
        <v>55</v>
      </c>
    </row>
    <row r="8" customFormat="false" ht="15" hidden="false" customHeight="false" outlineLevel="0" collapsed="false">
      <c r="A8" s="37" t="s">
        <v>56</v>
      </c>
      <c r="B8" s="37" t="s">
        <v>57</v>
      </c>
    </row>
    <row r="9" customFormat="false" ht="15" hidden="false" customHeight="false" outlineLevel="0" collapsed="false">
      <c r="A9" s="36"/>
      <c r="B9" s="36" t="s">
        <v>58</v>
      </c>
    </row>
    <row r="10" customFormat="false" ht="15" hidden="false" customHeight="false" outlineLevel="0" collapsed="false">
      <c r="A10" s="37"/>
      <c r="B10" s="37" t="s">
        <v>59</v>
      </c>
    </row>
    <row r="11" customFormat="false" ht="15" hidden="false" customHeight="false" outlineLevel="0" collapsed="false">
      <c r="A11" s="36"/>
      <c r="B11" s="36" t="s">
        <v>60</v>
      </c>
    </row>
    <row r="12" customFormat="false" ht="15" hidden="false" customHeight="false" outlineLevel="0" collapsed="false">
      <c r="A12" s="37"/>
      <c r="B12" s="37" t="s">
        <v>61</v>
      </c>
    </row>
    <row r="13" customFormat="false" ht="15" hidden="false" customHeight="false" outlineLevel="0" collapsed="false">
      <c r="A13" s="36"/>
      <c r="B13" s="36" t="s">
        <v>62</v>
      </c>
    </row>
    <row r="14" customFormat="false" ht="15" hidden="false" customHeight="false" outlineLevel="0" collapsed="false">
      <c r="A14" s="37"/>
      <c r="B14" s="37" t="s">
        <v>63</v>
      </c>
    </row>
    <row r="15" customFormat="false" ht="15" hidden="false" customHeight="false" outlineLevel="0" collapsed="false">
      <c r="A15" s="36"/>
      <c r="B15" s="36" t="s">
        <v>64</v>
      </c>
    </row>
    <row r="16" customFormat="false" ht="15" hidden="false" customHeight="false" outlineLevel="0" collapsed="false">
      <c r="A16" s="37"/>
      <c r="B16" s="37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8"/>
    <col collapsed="false" customWidth="true" hidden="false" outlineLevel="0" max="3" min="3" style="0" width="26"/>
    <col collapsed="false" customWidth="true" hidden="false" outlineLevel="0" max="4" min="4" style="0" width="30"/>
    <col collapsed="false" customWidth="true" hidden="false" outlineLevel="0" max="5" min="5" style="0" width="36"/>
    <col collapsed="false" customWidth="true" hidden="false" outlineLevel="0" max="7" min="6" style="0" width="7"/>
    <col collapsed="false" customWidth="true" hidden="false" outlineLevel="0" max="8" min="8" style="0" width="11"/>
    <col collapsed="false" customWidth="true" hidden="false" outlineLevel="0" max="9" min="9" style="0" width="13"/>
    <col collapsed="false" customWidth="true" hidden="false" outlineLevel="0" max="10" min="10" style="0" width="12"/>
    <col collapsed="false" customWidth="true" hidden="false" outlineLevel="0" max="11" min="11" style="0" width="10"/>
  </cols>
  <sheetData>
    <row r="1" customFormat="false" ht="22.05" hidden="false" customHeight="false" outlineLevel="0" collapsed="false">
      <c r="A1" s="32" t="s">
        <v>66</v>
      </c>
    </row>
    <row r="2" customFormat="false" ht="15" hidden="false" customHeight="false" outlineLevel="0" collapsed="false">
      <c r="A2" s="33" t="s">
        <v>67</v>
      </c>
    </row>
    <row r="4" customFormat="false" ht="30" hidden="false" customHeight="true" outlineLevel="0" collapsed="false">
      <c r="A4" s="34" t="s">
        <v>68</v>
      </c>
      <c r="B4" s="35" t="s">
        <v>69</v>
      </c>
      <c r="C4" s="35" t="s">
        <v>70</v>
      </c>
      <c r="D4" s="35" t="s">
        <v>71</v>
      </c>
      <c r="E4" s="35" t="s">
        <v>72</v>
      </c>
      <c r="F4" s="35" t="s">
        <v>73</v>
      </c>
      <c r="G4" s="35" t="s">
        <v>74</v>
      </c>
      <c r="H4" s="35" t="s">
        <v>75</v>
      </c>
      <c r="I4" s="35" t="s">
        <v>76</v>
      </c>
      <c r="J4" s="35" t="s">
        <v>77</v>
      </c>
      <c r="K4" s="35" t="s">
        <v>78</v>
      </c>
    </row>
    <row r="5" customFormat="false" ht="15" hidden="false" customHeight="false" outlineLevel="0" collapsed="false">
      <c r="A5" s="38" t="n">
        <v>46270</v>
      </c>
      <c r="B5" s="36" t="s">
        <v>52</v>
      </c>
      <c r="C5" s="36" t="s">
        <v>79</v>
      </c>
      <c r="D5" s="36" t="s">
        <v>65</v>
      </c>
      <c r="E5" s="36" t="s">
        <v>80</v>
      </c>
      <c r="F5" s="36" t="n">
        <v>10</v>
      </c>
      <c r="G5" s="36" t="s">
        <v>81</v>
      </c>
      <c r="H5" s="39" t="n">
        <v>120</v>
      </c>
      <c r="I5" s="40" t="n">
        <f aca="false">F5*H5</f>
        <v>1200</v>
      </c>
      <c r="J5" s="38" t="n">
        <v>46330</v>
      </c>
      <c r="K5" s="36" t="s">
        <v>82</v>
      </c>
    </row>
    <row r="6" customFormat="false" ht="15" hidden="false" customHeight="false" outlineLevel="0" collapsed="false">
      <c r="A6" s="41" t="n">
        <v>46048</v>
      </c>
      <c r="B6" s="37" t="s">
        <v>52</v>
      </c>
      <c r="C6" s="37" t="s">
        <v>83</v>
      </c>
      <c r="D6" s="37" t="s">
        <v>53</v>
      </c>
      <c r="E6" s="37" t="s">
        <v>84</v>
      </c>
      <c r="F6" s="37" t="n">
        <v>100</v>
      </c>
      <c r="G6" s="37" t="s">
        <v>81</v>
      </c>
      <c r="H6" s="42" t="n">
        <v>2.6</v>
      </c>
      <c r="I6" s="43" t="n">
        <f aca="false">F6*H6</f>
        <v>260</v>
      </c>
      <c r="J6" s="41" t="n">
        <v>46228</v>
      </c>
      <c r="K6" s="37" t="s">
        <v>82</v>
      </c>
    </row>
    <row r="7" customFormat="false" ht="15" hidden="false" customHeight="false" outlineLevel="0" collapsed="false">
      <c r="A7" s="38" t="n">
        <v>46124</v>
      </c>
      <c r="B7" s="36" t="s">
        <v>50</v>
      </c>
      <c r="C7" s="36" t="s">
        <v>79</v>
      </c>
      <c r="D7" s="36" t="s">
        <v>65</v>
      </c>
      <c r="E7" s="36" t="s">
        <v>80</v>
      </c>
      <c r="F7" s="36" t="n">
        <v>2</v>
      </c>
      <c r="G7" s="36" t="s">
        <v>81</v>
      </c>
      <c r="H7" s="39" t="n">
        <v>120</v>
      </c>
      <c r="I7" s="40" t="n">
        <f aca="false">F7*H7</f>
        <v>240</v>
      </c>
      <c r="J7" s="38"/>
      <c r="K7" s="36" t="s">
        <v>82</v>
      </c>
    </row>
    <row r="8" customFormat="false" ht="15" hidden="false" customHeight="false" outlineLevel="0" collapsed="false">
      <c r="A8" s="41" t="n">
        <v>46146</v>
      </c>
      <c r="B8" s="37" t="s">
        <v>56</v>
      </c>
      <c r="C8" s="37" t="s">
        <v>83</v>
      </c>
      <c r="D8" s="37" t="s">
        <v>51</v>
      </c>
      <c r="E8" s="37" t="s">
        <v>85</v>
      </c>
      <c r="F8" s="37" t="n">
        <v>100</v>
      </c>
      <c r="G8" s="37" t="s">
        <v>81</v>
      </c>
      <c r="H8" s="42" t="n">
        <v>6.1</v>
      </c>
      <c r="I8" s="43" t="n">
        <f aca="false">F8*H8</f>
        <v>610</v>
      </c>
      <c r="J8" s="41" t="n">
        <v>46326</v>
      </c>
      <c r="K8" s="37" t="s">
        <v>82</v>
      </c>
    </row>
    <row r="9" customFormat="false" ht="15" hidden="false" customHeight="false" outlineLevel="0" collapsed="false">
      <c r="A9" s="38" t="n">
        <v>46069</v>
      </c>
      <c r="B9" s="36" t="s">
        <v>54</v>
      </c>
      <c r="C9" s="36" t="s">
        <v>83</v>
      </c>
      <c r="D9" s="36" t="s">
        <v>51</v>
      </c>
      <c r="E9" s="36" t="s">
        <v>86</v>
      </c>
      <c r="F9" s="36" t="n">
        <v>100</v>
      </c>
      <c r="G9" s="36" t="s">
        <v>81</v>
      </c>
      <c r="H9" s="39" t="n">
        <v>3.57</v>
      </c>
      <c r="I9" s="40" t="n">
        <f aca="false">F9*H9</f>
        <v>357</v>
      </c>
      <c r="J9" s="38"/>
      <c r="K9" s="36" t="s">
        <v>82</v>
      </c>
    </row>
    <row r="10" customFormat="false" ht="15" hidden="false" customHeight="false" outlineLevel="0" collapsed="false">
      <c r="A10" s="41" t="n">
        <v>46082</v>
      </c>
      <c r="B10" s="37" t="s">
        <v>50</v>
      </c>
      <c r="C10" s="37" t="s">
        <v>87</v>
      </c>
      <c r="D10" s="37" t="s">
        <v>60</v>
      </c>
      <c r="E10" s="37" t="s">
        <v>88</v>
      </c>
      <c r="F10" s="37" t="n">
        <v>100</v>
      </c>
      <c r="G10" s="37" t="s">
        <v>81</v>
      </c>
      <c r="H10" s="42" t="n">
        <v>11</v>
      </c>
      <c r="I10" s="43" t="n">
        <f aca="false">F10*H10</f>
        <v>1100</v>
      </c>
      <c r="J10" s="41" t="n">
        <v>46172</v>
      </c>
      <c r="K10" s="37" t="s">
        <v>82</v>
      </c>
    </row>
    <row r="11" customFormat="false" ht="15" hidden="false" customHeight="false" outlineLevel="0" collapsed="false">
      <c r="A11" s="38" t="n">
        <v>46053</v>
      </c>
      <c r="B11" s="36" t="s">
        <v>50</v>
      </c>
      <c r="C11" s="36" t="s">
        <v>89</v>
      </c>
      <c r="D11" s="36" t="s">
        <v>59</v>
      </c>
      <c r="E11" s="36" t="s">
        <v>90</v>
      </c>
      <c r="F11" s="36" t="n">
        <v>1</v>
      </c>
      <c r="G11" s="36" t="s">
        <v>81</v>
      </c>
      <c r="H11" s="39" t="n">
        <v>1850</v>
      </c>
      <c r="I11" s="40" t="n">
        <f aca="false">F11*H11</f>
        <v>1850</v>
      </c>
      <c r="J11" s="38" t="n">
        <v>46593</v>
      </c>
      <c r="K11" s="36" t="s">
        <v>82</v>
      </c>
    </row>
    <row r="12" customFormat="false" ht="15" hidden="false" customHeight="false" outlineLevel="0" collapsed="false">
      <c r="A12" s="41" t="n">
        <v>46071</v>
      </c>
      <c r="B12" s="37" t="s">
        <v>52</v>
      </c>
      <c r="C12" s="37" t="s">
        <v>89</v>
      </c>
      <c r="D12" s="37" t="s">
        <v>59</v>
      </c>
      <c r="E12" s="37" t="s">
        <v>91</v>
      </c>
      <c r="F12" s="37" t="n">
        <v>2</v>
      </c>
      <c r="G12" s="37" t="s">
        <v>81</v>
      </c>
      <c r="H12" s="42" t="n">
        <v>4368</v>
      </c>
      <c r="I12" s="43" t="n">
        <f aca="false">F12*H12</f>
        <v>8736</v>
      </c>
      <c r="J12" s="41" t="n">
        <v>46101</v>
      </c>
      <c r="K12" s="37" t="s">
        <v>82</v>
      </c>
    </row>
    <row r="13" customFormat="false" ht="15" hidden="false" customHeight="false" outlineLevel="0" collapsed="false">
      <c r="A13" s="38" t="n">
        <v>46057</v>
      </c>
      <c r="B13" s="36" t="s">
        <v>52</v>
      </c>
      <c r="C13" s="36" t="s">
        <v>89</v>
      </c>
      <c r="D13" s="36" t="s">
        <v>59</v>
      </c>
      <c r="E13" s="36" t="s">
        <v>90</v>
      </c>
      <c r="F13" s="36" t="n">
        <v>1</v>
      </c>
      <c r="G13" s="36" t="s">
        <v>81</v>
      </c>
      <c r="H13" s="39" t="n">
        <v>1850</v>
      </c>
      <c r="I13" s="40" t="n">
        <f aca="false">F13*H13</f>
        <v>1850</v>
      </c>
      <c r="J13" s="38" t="n">
        <v>46237</v>
      </c>
      <c r="K13" s="36" t="s">
        <v>82</v>
      </c>
    </row>
    <row r="14" customFormat="false" ht="15" hidden="false" customHeight="false" outlineLevel="0" collapsed="false">
      <c r="A14" s="41" t="n">
        <v>46223</v>
      </c>
      <c r="B14" s="37" t="s">
        <v>52</v>
      </c>
      <c r="C14" s="37" t="s">
        <v>92</v>
      </c>
      <c r="D14" s="37" t="s">
        <v>55</v>
      </c>
      <c r="E14" s="37" t="s">
        <v>93</v>
      </c>
      <c r="F14" s="37" t="n">
        <v>3</v>
      </c>
      <c r="G14" s="37" t="s">
        <v>81</v>
      </c>
      <c r="H14" s="42" t="n">
        <v>1450</v>
      </c>
      <c r="I14" s="43" t="n">
        <f aca="false">F14*H14</f>
        <v>4350</v>
      </c>
      <c r="J14" s="41" t="n">
        <v>46403</v>
      </c>
      <c r="K14" s="37" t="s">
        <v>82</v>
      </c>
    </row>
    <row r="15" customFormat="false" ht="15" hidden="false" customHeight="false" outlineLevel="0" collapsed="false">
      <c r="A15" s="38" t="n">
        <v>46122</v>
      </c>
      <c r="B15" s="36" t="s">
        <v>54</v>
      </c>
      <c r="C15" s="36" t="s">
        <v>94</v>
      </c>
      <c r="D15" s="36" t="s">
        <v>57</v>
      </c>
      <c r="E15" s="36" t="s">
        <v>95</v>
      </c>
      <c r="F15" s="36" t="n">
        <v>10</v>
      </c>
      <c r="G15" s="36" t="s">
        <v>81</v>
      </c>
      <c r="H15" s="39" t="n">
        <v>31</v>
      </c>
      <c r="I15" s="40" t="n">
        <f aca="false">F15*H15</f>
        <v>310</v>
      </c>
      <c r="J15" s="38" t="n">
        <v>46487</v>
      </c>
      <c r="K15" s="36" t="s">
        <v>82</v>
      </c>
    </row>
    <row r="16" customFormat="false" ht="15" hidden="false" customHeight="false" outlineLevel="0" collapsed="false">
      <c r="A16" s="41" t="n">
        <v>46031</v>
      </c>
      <c r="B16" s="37" t="s">
        <v>52</v>
      </c>
      <c r="C16" s="37" t="s">
        <v>96</v>
      </c>
      <c r="D16" s="37" t="s">
        <v>53</v>
      </c>
      <c r="E16" s="37" t="s">
        <v>97</v>
      </c>
      <c r="F16" s="37" t="n">
        <v>20</v>
      </c>
      <c r="G16" s="37" t="s">
        <v>81</v>
      </c>
      <c r="H16" s="42" t="n">
        <v>6.49</v>
      </c>
      <c r="I16" s="43" t="n">
        <f aca="false">F16*H16</f>
        <v>129.8</v>
      </c>
      <c r="J16" s="41"/>
      <c r="K16" s="37" t="s">
        <v>82</v>
      </c>
    </row>
    <row r="17" customFormat="false" ht="15" hidden="false" customHeight="false" outlineLevel="0" collapsed="false">
      <c r="A17" s="38" t="n">
        <v>46133</v>
      </c>
      <c r="B17" s="36" t="s">
        <v>50</v>
      </c>
      <c r="C17" s="36" t="s">
        <v>87</v>
      </c>
      <c r="D17" s="36" t="s">
        <v>60</v>
      </c>
      <c r="E17" s="36" t="s">
        <v>98</v>
      </c>
      <c r="F17" s="36" t="n">
        <v>5</v>
      </c>
      <c r="G17" s="36" t="s">
        <v>81</v>
      </c>
      <c r="H17" s="39" t="n">
        <v>3.4</v>
      </c>
      <c r="I17" s="40" t="n">
        <f aca="false">F17*H17</f>
        <v>17</v>
      </c>
      <c r="J17" s="38" t="n">
        <v>46193</v>
      </c>
      <c r="K17" s="36" t="s">
        <v>82</v>
      </c>
    </row>
    <row r="18" customFormat="false" ht="15" hidden="false" customHeight="false" outlineLevel="0" collapsed="false">
      <c r="A18" s="41" t="n">
        <v>46274</v>
      </c>
      <c r="B18" s="37" t="s">
        <v>56</v>
      </c>
      <c r="C18" s="37" t="s">
        <v>83</v>
      </c>
      <c r="D18" s="37" t="s">
        <v>51</v>
      </c>
      <c r="E18" s="37" t="s">
        <v>99</v>
      </c>
      <c r="F18" s="37" t="n">
        <v>100</v>
      </c>
      <c r="G18" s="37" t="s">
        <v>81</v>
      </c>
      <c r="H18" s="42" t="n">
        <v>28</v>
      </c>
      <c r="I18" s="43" t="n">
        <f aca="false">F18*H18</f>
        <v>2800</v>
      </c>
      <c r="J18" s="41"/>
      <c r="K18" s="37" t="s">
        <v>82</v>
      </c>
    </row>
    <row r="19" customFormat="false" ht="15" hidden="false" customHeight="false" outlineLevel="0" collapsed="false">
      <c r="A19" s="38" t="n">
        <v>46154</v>
      </c>
      <c r="B19" s="36" t="s">
        <v>52</v>
      </c>
      <c r="C19" s="36" t="s">
        <v>100</v>
      </c>
      <c r="D19" s="36" t="s">
        <v>55</v>
      </c>
      <c r="E19" s="36" t="s">
        <v>101</v>
      </c>
      <c r="F19" s="36" t="n">
        <v>10</v>
      </c>
      <c r="G19" s="36" t="s">
        <v>81</v>
      </c>
      <c r="H19" s="39" t="n">
        <v>39.52</v>
      </c>
      <c r="I19" s="40" t="n">
        <f aca="false">F19*H19</f>
        <v>395.2</v>
      </c>
      <c r="J19" s="38"/>
      <c r="K19" s="36" t="s">
        <v>82</v>
      </c>
    </row>
    <row r="20" customFormat="false" ht="15" hidden="false" customHeight="false" outlineLevel="0" collapsed="false">
      <c r="A20" s="41" t="n">
        <v>46051</v>
      </c>
      <c r="B20" s="37" t="s">
        <v>56</v>
      </c>
      <c r="C20" s="37" t="s">
        <v>92</v>
      </c>
      <c r="D20" s="37" t="s">
        <v>55</v>
      </c>
      <c r="E20" s="37" t="s">
        <v>93</v>
      </c>
      <c r="F20" s="37" t="n">
        <v>3</v>
      </c>
      <c r="G20" s="37" t="s">
        <v>81</v>
      </c>
      <c r="H20" s="42" t="n">
        <v>1450</v>
      </c>
      <c r="I20" s="43" t="n">
        <f aca="false">F20*H20</f>
        <v>4350</v>
      </c>
      <c r="J20" s="41" t="n">
        <v>46081</v>
      </c>
      <c r="K20" s="37" t="s">
        <v>82</v>
      </c>
    </row>
    <row r="21" customFormat="false" ht="15" hidden="false" customHeight="false" outlineLevel="0" collapsed="false">
      <c r="A21" s="38" t="n">
        <v>46278</v>
      </c>
      <c r="B21" s="36" t="s">
        <v>54</v>
      </c>
      <c r="C21" s="36" t="s">
        <v>102</v>
      </c>
      <c r="D21" s="36" t="s">
        <v>58</v>
      </c>
      <c r="E21" s="36" t="s">
        <v>103</v>
      </c>
      <c r="F21" s="36" t="n">
        <v>10</v>
      </c>
      <c r="G21" s="36" t="s">
        <v>81</v>
      </c>
      <c r="H21" s="39" t="n">
        <v>178.5</v>
      </c>
      <c r="I21" s="40" t="n">
        <f aca="false">F21*H21</f>
        <v>1785</v>
      </c>
      <c r="J21" s="38" t="n">
        <v>46338</v>
      </c>
      <c r="K21" s="36" t="s">
        <v>82</v>
      </c>
    </row>
    <row r="22" customFormat="false" ht="15" hidden="false" customHeight="false" outlineLevel="0" collapsed="false">
      <c r="A22" s="41" t="n">
        <v>46064</v>
      </c>
      <c r="B22" s="37" t="s">
        <v>56</v>
      </c>
      <c r="C22" s="37" t="s">
        <v>96</v>
      </c>
      <c r="D22" s="37" t="s">
        <v>53</v>
      </c>
      <c r="E22" s="37" t="s">
        <v>104</v>
      </c>
      <c r="F22" s="37" t="n">
        <v>200</v>
      </c>
      <c r="G22" s="37" t="s">
        <v>81</v>
      </c>
      <c r="H22" s="42" t="n">
        <v>9.88</v>
      </c>
      <c r="I22" s="43" t="n">
        <f aca="false">F22*H22</f>
        <v>1976</v>
      </c>
      <c r="J22" s="41" t="n">
        <v>46124</v>
      </c>
      <c r="K22" s="37" t="s">
        <v>82</v>
      </c>
    </row>
    <row r="23" customFormat="false" ht="15" hidden="false" customHeight="false" outlineLevel="0" collapsed="false">
      <c r="A23" s="38" t="n">
        <v>46057</v>
      </c>
      <c r="B23" s="36" t="s">
        <v>56</v>
      </c>
      <c r="C23" s="36" t="s">
        <v>83</v>
      </c>
      <c r="D23" s="36" t="s">
        <v>51</v>
      </c>
      <c r="E23" s="36" t="s">
        <v>86</v>
      </c>
      <c r="F23" s="36" t="n">
        <v>10</v>
      </c>
      <c r="G23" s="36" t="s">
        <v>81</v>
      </c>
      <c r="H23" s="39" t="n">
        <v>4.96</v>
      </c>
      <c r="I23" s="40" t="n">
        <f aca="false">F23*H23</f>
        <v>49.6</v>
      </c>
      <c r="J23" s="38" t="n">
        <v>46147</v>
      </c>
      <c r="K23" s="36" t="s">
        <v>82</v>
      </c>
    </row>
    <row r="24" customFormat="false" ht="15" hidden="false" customHeight="false" outlineLevel="0" collapsed="false">
      <c r="A24" s="41" t="n">
        <v>46196</v>
      </c>
      <c r="B24" s="37" t="s">
        <v>54</v>
      </c>
      <c r="C24" s="37" t="s">
        <v>96</v>
      </c>
      <c r="D24" s="37" t="s">
        <v>60</v>
      </c>
      <c r="E24" s="37" t="s">
        <v>88</v>
      </c>
      <c r="F24" s="37" t="n">
        <v>50</v>
      </c>
      <c r="G24" s="37" t="s">
        <v>81</v>
      </c>
      <c r="H24" s="42" t="n">
        <v>11</v>
      </c>
      <c r="I24" s="43" t="n">
        <f aca="false">F24*H24</f>
        <v>550</v>
      </c>
      <c r="J24" s="41" t="n">
        <v>46736</v>
      </c>
      <c r="K24" s="37" t="s">
        <v>82</v>
      </c>
    </row>
    <row r="25" customFormat="false" ht="15" hidden="false" customHeight="false" outlineLevel="0" collapsed="false">
      <c r="A25" s="38" t="n">
        <v>46044</v>
      </c>
      <c r="B25" s="36" t="s">
        <v>56</v>
      </c>
      <c r="C25" s="36" t="s">
        <v>100</v>
      </c>
      <c r="D25" s="36" t="s">
        <v>55</v>
      </c>
      <c r="E25" s="36" t="s">
        <v>93</v>
      </c>
      <c r="F25" s="36" t="n">
        <v>2</v>
      </c>
      <c r="G25" s="36" t="s">
        <v>81</v>
      </c>
      <c r="H25" s="39" t="n">
        <v>1406.5</v>
      </c>
      <c r="I25" s="40" t="n">
        <f aca="false">F25*H25</f>
        <v>2813</v>
      </c>
      <c r="J25" s="38" t="n">
        <v>46584</v>
      </c>
      <c r="K25" s="36" t="s">
        <v>82</v>
      </c>
    </row>
    <row r="26" customFormat="false" ht="15" hidden="false" customHeight="false" outlineLevel="0" collapsed="false">
      <c r="A26" s="41" t="n">
        <v>46064</v>
      </c>
      <c r="B26" s="37" t="s">
        <v>54</v>
      </c>
      <c r="C26" s="37" t="s">
        <v>96</v>
      </c>
      <c r="D26" s="37" t="s">
        <v>53</v>
      </c>
      <c r="E26" s="37" t="s">
        <v>84</v>
      </c>
      <c r="F26" s="37" t="n">
        <v>10</v>
      </c>
      <c r="G26" s="37" t="s">
        <v>81</v>
      </c>
      <c r="H26" s="42" t="n">
        <v>2.52</v>
      </c>
      <c r="I26" s="43" t="n">
        <f aca="false">F26*H26</f>
        <v>25.2</v>
      </c>
      <c r="J26" s="41" t="n">
        <v>46429</v>
      </c>
      <c r="K26" s="37" t="s">
        <v>82</v>
      </c>
    </row>
    <row r="27" customFormat="false" ht="15" hidden="false" customHeight="false" outlineLevel="0" collapsed="false">
      <c r="A27" s="38" t="n">
        <v>46269</v>
      </c>
      <c r="B27" s="36" t="s">
        <v>54</v>
      </c>
      <c r="C27" s="36" t="s">
        <v>96</v>
      </c>
      <c r="D27" s="36" t="s">
        <v>60</v>
      </c>
      <c r="E27" s="36" t="s">
        <v>88</v>
      </c>
      <c r="F27" s="36" t="n">
        <v>5</v>
      </c>
      <c r="G27" s="36" t="s">
        <v>81</v>
      </c>
      <c r="H27" s="39" t="n">
        <v>10.67</v>
      </c>
      <c r="I27" s="40" t="n">
        <f aca="false">F27*H27</f>
        <v>53.35</v>
      </c>
      <c r="J27" s="38"/>
      <c r="K27" s="36" t="s">
        <v>82</v>
      </c>
    </row>
    <row r="28" customFormat="false" ht="15" hidden="false" customHeight="false" outlineLevel="0" collapsed="false">
      <c r="A28" s="41" t="n">
        <v>46033</v>
      </c>
      <c r="B28" s="37" t="s">
        <v>50</v>
      </c>
      <c r="C28" s="37" t="s">
        <v>105</v>
      </c>
      <c r="D28" s="37" t="s">
        <v>59</v>
      </c>
      <c r="E28" s="37" t="s">
        <v>90</v>
      </c>
      <c r="F28" s="37" t="n">
        <v>3</v>
      </c>
      <c r="G28" s="37" t="s">
        <v>81</v>
      </c>
      <c r="H28" s="42" t="n">
        <v>1572.5</v>
      </c>
      <c r="I28" s="43" t="n">
        <f aca="false">F28*H28</f>
        <v>4717.5</v>
      </c>
      <c r="J28" s="41" t="n">
        <v>46063</v>
      </c>
      <c r="K28" s="37" t="s">
        <v>82</v>
      </c>
    </row>
    <row r="29" customFormat="false" ht="15" hidden="false" customHeight="false" outlineLevel="0" collapsed="false">
      <c r="A29" s="38" t="n">
        <v>46261</v>
      </c>
      <c r="B29" s="36" t="s">
        <v>56</v>
      </c>
      <c r="C29" s="36" t="s">
        <v>83</v>
      </c>
      <c r="D29" s="36" t="s">
        <v>53</v>
      </c>
      <c r="E29" s="36" t="s">
        <v>97</v>
      </c>
      <c r="F29" s="36" t="n">
        <v>50</v>
      </c>
      <c r="G29" s="36" t="s">
        <v>81</v>
      </c>
      <c r="H29" s="39" t="n">
        <v>5.33</v>
      </c>
      <c r="I29" s="40" t="n">
        <f aca="false">F29*H29</f>
        <v>266.5</v>
      </c>
      <c r="J29" s="38" t="n">
        <v>46626</v>
      </c>
      <c r="K29" s="36" t="s">
        <v>82</v>
      </c>
    </row>
    <row r="30" customFormat="false" ht="15" hidden="false" customHeight="false" outlineLevel="0" collapsed="false">
      <c r="A30" s="41" t="n">
        <v>46144</v>
      </c>
      <c r="B30" s="37" t="s">
        <v>50</v>
      </c>
      <c r="C30" s="37" t="s">
        <v>83</v>
      </c>
      <c r="D30" s="37" t="s">
        <v>53</v>
      </c>
      <c r="E30" s="37" t="s">
        <v>97</v>
      </c>
      <c r="F30" s="37" t="n">
        <v>5</v>
      </c>
      <c r="G30" s="37" t="s">
        <v>81</v>
      </c>
      <c r="H30" s="42" t="n">
        <v>6.49</v>
      </c>
      <c r="I30" s="43" t="n">
        <f aca="false">F30*H30</f>
        <v>32.45</v>
      </c>
      <c r="J30" s="41"/>
      <c r="K30" s="37" t="s">
        <v>82</v>
      </c>
    </row>
    <row r="31" customFormat="false" ht="15" hidden="false" customHeight="false" outlineLevel="0" collapsed="false">
      <c r="A31" s="38" t="n">
        <v>46215</v>
      </c>
      <c r="B31" s="36" t="s">
        <v>56</v>
      </c>
      <c r="C31" s="36" t="s">
        <v>92</v>
      </c>
      <c r="D31" s="36" t="s">
        <v>53</v>
      </c>
      <c r="E31" s="36" t="s">
        <v>84</v>
      </c>
      <c r="F31" s="36" t="n">
        <v>5</v>
      </c>
      <c r="G31" s="36" t="s">
        <v>81</v>
      </c>
      <c r="H31" s="39" t="n">
        <v>2.7</v>
      </c>
      <c r="I31" s="40" t="n">
        <f aca="false">F31*H31</f>
        <v>13.5</v>
      </c>
      <c r="J31" s="38" t="n">
        <v>46755</v>
      </c>
      <c r="K31" s="36" t="s">
        <v>82</v>
      </c>
    </row>
    <row r="32" customFormat="false" ht="15" hidden="false" customHeight="false" outlineLevel="0" collapsed="false">
      <c r="A32" s="41" t="n">
        <v>46194</v>
      </c>
      <c r="B32" s="37" t="s">
        <v>56</v>
      </c>
      <c r="C32" s="37" t="s">
        <v>94</v>
      </c>
      <c r="D32" s="37" t="s">
        <v>57</v>
      </c>
      <c r="E32" s="37" t="s">
        <v>95</v>
      </c>
      <c r="F32" s="37" t="n">
        <v>10</v>
      </c>
      <c r="G32" s="37" t="s">
        <v>81</v>
      </c>
      <c r="H32" s="42" t="n">
        <v>36.58</v>
      </c>
      <c r="I32" s="43" t="n">
        <f aca="false">F32*H32</f>
        <v>365.8</v>
      </c>
      <c r="J32" s="41" t="n">
        <v>46284</v>
      </c>
      <c r="K32" s="37" t="s">
        <v>82</v>
      </c>
    </row>
    <row r="33" customFormat="false" ht="15" hidden="false" customHeight="false" outlineLevel="0" collapsed="false">
      <c r="A33" s="38" t="n">
        <v>46189</v>
      </c>
      <c r="B33" s="36" t="s">
        <v>52</v>
      </c>
      <c r="C33" s="36" t="s">
        <v>89</v>
      </c>
      <c r="D33" s="36" t="s">
        <v>57</v>
      </c>
      <c r="E33" s="36" t="s">
        <v>106</v>
      </c>
      <c r="F33" s="36" t="n">
        <v>10</v>
      </c>
      <c r="G33" s="36" t="s">
        <v>81</v>
      </c>
      <c r="H33" s="39" t="n">
        <v>11.9</v>
      </c>
      <c r="I33" s="40" t="n">
        <f aca="false">F33*H33</f>
        <v>119</v>
      </c>
      <c r="J33" s="38" t="n">
        <v>46249</v>
      </c>
      <c r="K33" s="36" t="s">
        <v>82</v>
      </c>
    </row>
    <row r="34" customFormat="false" ht="15" hidden="false" customHeight="false" outlineLevel="0" collapsed="false">
      <c r="A34" s="41" t="n">
        <v>46084</v>
      </c>
      <c r="B34" s="37" t="s">
        <v>50</v>
      </c>
      <c r="C34" s="37" t="s">
        <v>79</v>
      </c>
      <c r="D34" s="37" t="s">
        <v>65</v>
      </c>
      <c r="E34" s="37" t="s">
        <v>80</v>
      </c>
      <c r="F34" s="37" t="n">
        <v>2</v>
      </c>
      <c r="G34" s="37" t="s">
        <v>81</v>
      </c>
      <c r="H34" s="42" t="n">
        <v>124.8</v>
      </c>
      <c r="I34" s="43" t="n">
        <f aca="false">F34*H34</f>
        <v>249.6</v>
      </c>
      <c r="J34" s="41" t="n">
        <v>46174</v>
      </c>
      <c r="K34" s="37" t="s">
        <v>82</v>
      </c>
    </row>
    <row r="35" customFormat="false" ht="15" hidden="false" customHeight="false" outlineLevel="0" collapsed="false">
      <c r="A35" s="38" t="n">
        <v>46258</v>
      </c>
      <c r="B35" s="36" t="s">
        <v>56</v>
      </c>
      <c r="C35" s="36" t="s">
        <v>94</v>
      </c>
      <c r="D35" s="36" t="s">
        <v>57</v>
      </c>
      <c r="E35" s="36" t="s">
        <v>106</v>
      </c>
      <c r="F35" s="36" t="n">
        <v>200</v>
      </c>
      <c r="G35" s="36" t="s">
        <v>81</v>
      </c>
      <c r="H35" s="39" t="n">
        <v>13.58</v>
      </c>
      <c r="I35" s="40" t="n">
        <f aca="false">F35*H35</f>
        <v>2716</v>
      </c>
      <c r="J35" s="38" t="n">
        <v>46288</v>
      </c>
      <c r="K35" s="36" t="s">
        <v>82</v>
      </c>
    </row>
    <row r="36" customFormat="false" ht="15" hidden="false" customHeight="false" outlineLevel="0" collapsed="false">
      <c r="A36" s="41" t="n">
        <v>46036</v>
      </c>
      <c r="B36" s="37" t="s">
        <v>54</v>
      </c>
      <c r="C36" s="37" t="s">
        <v>102</v>
      </c>
      <c r="D36" s="37" t="s">
        <v>58</v>
      </c>
      <c r="E36" s="37" t="s">
        <v>103</v>
      </c>
      <c r="F36" s="37" t="n">
        <v>10</v>
      </c>
      <c r="G36" s="37" t="s">
        <v>81</v>
      </c>
      <c r="H36" s="42" t="n">
        <v>218.4</v>
      </c>
      <c r="I36" s="43" t="n">
        <f aca="false">F36*H36</f>
        <v>2184</v>
      </c>
      <c r="J36" s="41" t="n">
        <v>46216</v>
      </c>
      <c r="K36" s="37" t="s">
        <v>82</v>
      </c>
    </row>
    <row r="37" customFormat="false" ht="15" hidden="false" customHeight="false" outlineLevel="0" collapsed="false">
      <c r="A37" s="38" t="n">
        <v>46051</v>
      </c>
      <c r="B37" s="36" t="s">
        <v>54</v>
      </c>
      <c r="C37" s="36" t="s">
        <v>79</v>
      </c>
      <c r="D37" s="36" t="s">
        <v>65</v>
      </c>
      <c r="E37" s="36" t="s">
        <v>80</v>
      </c>
      <c r="F37" s="36" t="n">
        <v>2</v>
      </c>
      <c r="G37" s="36" t="s">
        <v>81</v>
      </c>
      <c r="H37" s="39" t="n">
        <v>120</v>
      </c>
      <c r="I37" s="40" t="n">
        <f aca="false">F37*H37</f>
        <v>240</v>
      </c>
      <c r="J37" s="38"/>
      <c r="K37" s="36" t="s">
        <v>82</v>
      </c>
    </row>
    <row r="38" customFormat="false" ht="15" hidden="false" customHeight="false" outlineLevel="0" collapsed="false">
      <c r="A38" s="41" t="n">
        <v>46128</v>
      </c>
      <c r="B38" s="37" t="s">
        <v>54</v>
      </c>
      <c r="C38" s="37" t="s">
        <v>96</v>
      </c>
      <c r="D38" s="37" t="s">
        <v>53</v>
      </c>
      <c r="E38" s="37" t="s">
        <v>84</v>
      </c>
      <c r="F38" s="37" t="n">
        <v>200</v>
      </c>
      <c r="G38" s="37" t="s">
        <v>81</v>
      </c>
      <c r="H38" s="42" t="n">
        <v>2.6</v>
      </c>
      <c r="I38" s="43" t="n">
        <f aca="false">F38*H38</f>
        <v>520</v>
      </c>
      <c r="J38" s="41" t="n">
        <v>46308</v>
      </c>
      <c r="K38" s="37" t="s">
        <v>82</v>
      </c>
    </row>
    <row r="39" customFormat="false" ht="15" hidden="false" customHeight="false" outlineLevel="0" collapsed="false">
      <c r="A39" s="38" t="n">
        <v>46045</v>
      </c>
      <c r="B39" s="36" t="s">
        <v>56</v>
      </c>
      <c r="C39" s="36" t="s">
        <v>94</v>
      </c>
      <c r="D39" s="36" t="s">
        <v>58</v>
      </c>
      <c r="E39" s="36" t="s">
        <v>103</v>
      </c>
      <c r="F39" s="36" t="n">
        <v>10</v>
      </c>
      <c r="G39" s="36" t="s">
        <v>81</v>
      </c>
      <c r="H39" s="39" t="n">
        <v>262.5</v>
      </c>
      <c r="I39" s="40" t="n">
        <f aca="false">F39*H39</f>
        <v>2625</v>
      </c>
      <c r="J39" s="38" t="n">
        <v>46135</v>
      </c>
      <c r="K39" s="36" t="s">
        <v>82</v>
      </c>
    </row>
    <row r="40" customFormat="false" ht="15" hidden="false" customHeight="false" outlineLevel="0" collapsed="false">
      <c r="A40" s="41" t="n">
        <v>46225</v>
      </c>
      <c r="B40" s="37" t="s">
        <v>52</v>
      </c>
      <c r="C40" s="37" t="s">
        <v>87</v>
      </c>
      <c r="D40" s="37" t="s">
        <v>60</v>
      </c>
      <c r="E40" s="37" t="s">
        <v>88</v>
      </c>
      <c r="F40" s="37" t="n">
        <v>50</v>
      </c>
      <c r="G40" s="37" t="s">
        <v>81</v>
      </c>
      <c r="H40" s="42" t="n">
        <v>11</v>
      </c>
      <c r="I40" s="43" t="n">
        <f aca="false">F40*H40</f>
        <v>550</v>
      </c>
      <c r="J40" s="41" t="n">
        <v>46405</v>
      </c>
      <c r="K40" s="37" t="s">
        <v>82</v>
      </c>
    </row>
    <row r="41" customFormat="false" ht="15" hidden="false" customHeight="false" outlineLevel="0" collapsed="false">
      <c r="A41" s="38" t="n">
        <v>46131</v>
      </c>
      <c r="B41" s="36" t="s">
        <v>54</v>
      </c>
      <c r="C41" s="36" t="s">
        <v>94</v>
      </c>
      <c r="D41" s="36" t="s">
        <v>57</v>
      </c>
      <c r="E41" s="36" t="s">
        <v>95</v>
      </c>
      <c r="F41" s="36" t="n">
        <v>20</v>
      </c>
      <c r="G41" s="36" t="s">
        <v>81</v>
      </c>
      <c r="H41" s="39" t="n">
        <v>36.58</v>
      </c>
      <c r="I41" s="40" t="n">
        <f aca="false">F41*H41</f>
        <v>731.6</v>
      </c>
      <c r="J41" s="38" t="n">
        <v>46671</v>
      </c>
      <c r="K41" s="36" t="s">
        <v>82</v>
      </c>
    </row>
    <row r="42" customFormat="false" ht="15" hidden="false" customHeight="false" outlineLevel="0" collapsed="false">
      <c r="A42" s="41" t="n">
        <v>46191</v>
      </c>
      <c r="B42" s="37" t="s">
        <v>56</v>
      </c>
      <c r="C42" s="37" t="s">
        <v>96</v>
      </c>
      <c r="D42" s="37" t="s">
        <v>53</v>
      </c>
      <c r="E42" s="37" t="s">
        <v>104</v>
      </c>
      <c r="F42" s="37" t="n">
        <v>20</v>
      </c>
      <c r="G42" s="37" t="s">
        <v>81</v>
      </c>
      <c r="H42" s="42" t="n">
        <v>7.9</v>
      </c>
      <c r="I42" s="43" t="n">
        <f aca="false">F42*H42</f>
        <v>158</v>
      </c>
      <c r="J42" s="41" t="n">
        <v>46731</v>
      </c>
      <c r="K42" s="37" t="s">
        <v>82</v>
      </c>
    </row>
    <row r="43" customFormat="false" ht="15" hidden="false" customHeight="false" outlineLevel="0" collapsed="false">
      <c r="A43" s="38" t="n">
        <v>46202</v>
      </c>
      <c r="B43" s="36" t="s">
        <v>50</v>
      </c>
      <c r="C43" s="36" t="s">
        <v>107</v>
      </c>
      <c r="D43" s="36" t="s">
        <v>51</v>
      </c>
      <c r="E43" s="36" t="s">
        <v>99</v>
      </c>
      <c r="F43" s="36" t="n">
        <v>50</v>
      </c>
      <c r="G43" s="36" t="s">
        <v>81</v>
      </c>
      <c r="H43" s="39" t="n">
        <v>28</v>
      </c>
      <c r="I43" s="40" t="n">
        <f aca="false">F43*H43</f>
        <v>1400</v>
      </c>
      <c r="J43" s="38" t="n">
        <v>46292</v>
      </c>
      <c r="K43" s="36" t="s">
        <v>82</v>
      </c>
    </row>
    <row r="44" customFormat="false" ht="15" hidden="false" customHeight="false" outlineLevel="0" collapsed="false">
      <c r="A44" s="41" t="n">
        <v>46115</v>
      </c>
      <c r="B44" s="37" t="s">
        <v>50</v>
      </c>
      <c r="C44" s="37" t="s">
        <v>79</v>
      </c>
      <c r="D44" s="37" t="s">
        <v>65</v>
      </c>
      <c r="E44" s="37" t="s">
        <v>80</v>
      </c>
      <c r="F44" s="37" t="n">
        <v>2</v>
      </c>
      <c r="G44" s="37" t="s">
        <v>81</v>
      </c>
      <c r="H44" s="42" t="n">
        <v>102</v>
      </c>
      <c r="I44" s="43" t="n">
        <f aca="false">F44*H44</f>
        <v>204</v>
      </c>
      <c r="J44" s="41" t="n">
        <v>46655</v>
      </c>
      <c r="K44" s="37" t="s">
        <v>82</v>
      </c>
    </row>
    <row r="45" customFormat="false" ht="15" hidden="false" customHeight="false" outlineLevel="0" collapsed="false">
      <c r="A45" s="38" t="n">
        <v>46071</v>
      </c>
      <c r="B45" s="36" t="s">
        <v>56</v>
      </c>
      <c r="C45" s="36" t="s">
        <v>100</v>
      </c>
      <c r="D45" s="36" t="s">
        <v>55</v>
      </c>
      <c r="E45" s="36" t="s">
        <v>101</v>
      </c>
      <c r="F45" s="36" t="n">
        <v>100</v>
      </c>
      <c r="G45" s="36" t="s">
        <v>81</v>
      </c>
      <c r="H45" s="39" t="n">
        <v>44.84</v>
      </c>
      <c r="I45" s="40" t="n">
        <f aca="false">F45*H45</f>
        <v>4484</v>
      </c>
      <c r="J45" s="38"/>
      <c r="K45" s="36" t="s">
        <v>82</v>
      </c>
    </row>
    <row r="46" customFormat="false" ht="15" hidden="false" customHeight="false" outlineLevel="0" collapsed="false">
      <c r="A46" s="41" t="n">
        <v>46222</v>
      </c>
      <c r="B46" s="37" t="s">
        <v>54</v>
      </c>
      <c r="C46" s="37" t="s">
        <v>79</v>
      </c>
      <c r="D46" s="37" t="s">
        <v>65</v>
      </c>
      <c r="E46" s="37" t="s">
        <v>80</v>
      </c>
      <c r="F46" s="37" t="n">
        <v>10</v>
      </c>
      <c r="G46" s="37" t="s">
        <v>81</v>
      </c>
      <c r="H46" s="42" t="n">
        <v>124.8</v>
      </c>
      <c r="I46" s="43" t="n">
        <f aca="false">F46*H46</f>
        <v>1248</v>
      </c>
      <c r="J46" s="41"/>
      <c r="K46" s="37" t="s">
        <v>82</v>
      </c>
    </row>
    <row r="47" customFormat="false" ht="15" hidden="false" customHeight="false" outlineLevel="0" collapsed="false">
      <c r="A47" s="38" t="n">
        <v>46237</v>
      </c>
      <c r="B47" s="36" t="s">
        <v>54</v>
      </c>
      <c r="C47" s="36" t="s">
        <v>89</v>
      </c>
      <c r="D47" s="36" t="s">
        <v>57</v>
      </c>
      <c r="E47" s="36" t="s">
        <v>106</v>
      </c>
      <c r="F47" s="36" t="n">
        <v>10</v>
      </c>
      <c r="G47" s="36" t="s">
        <v>81</v>
      </c>
      <c r="H47" s="39" t="n">
        <v>16.52</v>
      </c>
      <c r="I47" s="40" t="n">
        <f aca="false">F47*H47</f>
        <v>165.2</v>
      </c>
      <c r="J47" s="38" t="n">
        <v>46602</v>
      </c>
      <c r="K47" s="36" t="s">
        <v>82</v>
      </c>
    </row>
    <row r="48" customFormat="false" ht="15" hidden="false" customHeight="false" outlineLevel="0" collapsed="false">
      <c r="A48" s="41" t="n">
        <v>46089</v>
      </c>
      <c r="B48" s="37" t="s">
        <v>50</v>
      </c>
      <c r="C48" s="37" t="s">
        <v>108</v>
      </c>
      <c r="D48" s="37" t="s">
        <v>51</v>
      </c>
      <c r="E48" s="37" t="s">
        <v>85</v>
      </c>
      <c r="F48" s="37" t="n">
        <v>50</v>
      </c>
      <c r="G48" s="37" t="s">
        <v>81</v>
      </c>
      <c r="H48" s="42" t="n">
        <v>7.62</v>
      </c>
      <c r="I48" s="43" t="n">
        <f aca="false">F48*H48</f>
        <v>381</v>
      </c>
      <c r="J48" s="41" t="n">
        <v>46629</v>
      </c>
      <c r="K48" s="37" t="s">
        <v>82</v>
      </c>
    </row>
    <row r="49" customFormat="false" ht="15" hidden="false" customHeight="false" outlineLevel="0" collapsed="false">
      <c r="A49" s="38" t="n">
        <v>46153</v>
      </c>
      <c r="B49" s="36" t="s">
        <v>56</v>
      </c>
      <c r="C49" s="36" t="s">
        <v>92</v>
      </c>
      <c r="D49" s="36" t="s">
        <v>55</v>
      </c>
      <c r="E49" s="36" t="s">
        <v>93</v>
      </c>
      <c r="F49" s="36" t="n">
        <v>2</v>
      </c>
      <c r="G49" s="36" t="s">
        <v>81</v>
      </c>
      <c r="H49" s="39" t="n">
        <v>1232.5</v>
      </c>
      <c r="I49" s="40" t="n">
        <f aca="false">F49*H49</f>
        <v>2465</v>
      </c>
      <c r="J49" s="38" t="n">
        <v>46213</v>
      </c>
      <c r="K49" s="36" t="s">
        <v>82</v>
      </c>
    </row>
    <row r="50" customFormat="false" ht="15" hidden="false" customHeight="false" outlineLevel="0" collapsed="false">
      <c r="A50" s="41" t="n">
        <v>46241</v>
      </c>
      <c r="B50" s="37" t="s">
        <v>54</v>
      </c>
      <c r="C50" s="37" t="s">
        <v>87</v>
      </c>
      <c r="D50" s="37" t="s">
        <v>60</v>
      </c>
      <c r="E50" s="37" t="s">
        <v>98</v>
      </c>
      <c r="F50" s="37" t="n">
        <v>10</v>
      </c>
      <c r="G50" s="37" t="s">
        <v>81</v>
      </c>
      <c r="H50" s="42" t="n">
        <v>3.4</v>
      </c>
      <c r="I50" s="43" t="n">
        <f aca="false">F50*H50</f>
        <v>34</v>
      </c>
      <c r="J50" s="41" t="n">
        <v>46331</v>
      </c>
      <c r="K50" s="37" t="s">
        <v>82</v>
      </c>
    </row>
    <row r="51" customFormat="false" ht="15" hidden="false" customHeight="false" outlineLevel="0" collapsed="false">
      <c r="A51" s="38" t="n">
        <v>46033</v>
      </c>
      <c r="B51" s="36" t="s">
        <v>52</v>
      </c>
      <c r="C51" s="36" t="s">
        <v>100</v>
      </c>
      <c r="D51" s="36" t="s">
        <v>55</v>
      </c>
      <c r="E51" s="36" t="s">
        <v>93</v>
      </c>
      <c r="F51" s="36" t="n">
        <v>1</v>
      </c>
      <c r="G51" s="36" t="s">
        <v>81</v>
      </c>
      <c r="H51" s="39" t="n">
        <v>1450</v>
      </c>
      <c r="I51" s="40" t="n">
        <f aca="false">F51*H51</f>
        <v>1450</v>
      </c>
      <c r="J51" s="38" t="n">
        <v>46123</v>
      </c>
      <c r="K51" s="36" t="s">
        <v>82</v>
      </c>
    </row>
    <row r="52" customFormat="false" ht="15" hidden="false" customHeight="false" outlineLevel="0" collapsed="false">
      <c r="A52" s="41" t="n">
        <v>46089</v>
      </c>
      <c r="B52" s="37" t="s">
        <v>50</v>
      </c>
      <c r="C52" s="37" t="s">
        <v>87</v>
      </c>
      <c r="D52" s="37" t="s">
        <v>60</v>
      </c>
      <c r="E52" s="37" t="s">
        <v>88</v>
      </c>
      <c r="F52" s="37" t="n">
        <v>200</v>
      </c>
      <c r="G52" s="37" t="s">
        <v>81</v>
      </c>
      <c r="H52" s="42" t="n">
        <v>12.98</v>
      </c>
      <c r="I52" s="43" t="n">
        <f aca="false">F52*H52</f>
        <v>2596</v>
      </c>
      <c r="J52" s="41"/>
      <c r="K52" s="37" t="s">
        <v>82</v>
      </c>
    </row>
    <row r="53" customFormat="false" ht="15" hidden="false" customHeight="false" outlineLevel="0" collapsed="false">
      <c r="A53" s="38" t="n">
        <v>46238</v>
      </c>
      <c r="B53" s="36" t="s">
        <v>50</v>
      </c>
      <c r="C53" s="36" t="s">
        <v>102</v>
      </c>
      <c r="D53" s="36" t="s">
        <v>58</v>
      </c>
      <c r="E53" s="36" t="s">
        <v>103</v>
      </c>
      <c r="F53" s="36" t="n">
        <v>10</v>
      </c>
      <c r="G53" s="36" t="s">
        <v>81</v>
      </c>
      <c r="H53" s="39" t="n">
        <v>178.5</v>
      </c>
      <c r="I53" s="40" t="n">
        <f aca="false">F53*H53</f>
        <v>1785</v>
      </c>
      <c r="J53" s="38"/>
      <c r="K53" s="36" t="s">
        <v>82</v>
      </c>
    </row>
    <row r="54" customFormat="false" ht="15" hidden="false" customHeight="false" outlineLevel="0" collapsed="false">
      <c r="A54" s="41" t="n">
        <v>46146</v>
      </c>
      <c r="B54" s="37" t="s">
        <v>52</v>
      </c>
      <c r="C54" s="37" t="s">
        <v>100</v>
      </c>
      <c r="D54" s="37" t="s">
        <v>55</v>
      </c>
      <c r="E54" s="37" t="s">
        <v>93</v>
      </c>
      <c r="F54" s="37" t="n">
        <v>1</v>
      </c>
      <c r="G54" s="37" t="s">
        <v>81</v>
      </c>
      <c r="H54" s="42" t="n">
        <v>1812.5</v>
      </c>
      <c r="I54" s="43" t="n">
        <f aca="false">F54*H54</f>
        <v>1812.5</v>
      </c>
      <c r="J54" s="41"/>
      <c r="K54" s="37" t="s">
        <v>82</v>
      </c>
    </row>
    <row r="55" customFormat="false" ht="15" hidden="false" customHeight="false" outlineLevel="0" collapsed="false">
      <c r="A55" s="38" t="n">
        <v>46126</v>
      </c>
      <c r="B55" s="36" t="s">
        <v>54</v>
      </c>
      <c r="C55" s="36" t="s">
        <v>87</v>
      </c>
      <c r="D55" s="36" t="s">
        <v>60</v>
      </c>
      <c r="E55" s="36" t="s">
        <v>88</v>
      </c>
      <c r="F55" s="36" t="n">
        <v>10</v>
      </c>
      <c r="G55" s="36" t="s">
        <v>81</v>
      </c>
      <c r="H55" s="39" t="n">
        <v>11</v>
      </c>
      <c r="I55" s="40" t="n">
        <f aca="false">F55*H55</f>
        <v>110</v>
      </c>
      <c r="J55" s="38"/>
      <c r="K55" s="36" t="s">
        <v>82</v>
      </c>
    </row>
    <row r="56" customFormat="false" ht="15" hidden="false" customHeight="false" outlineLevel="0" collapsed="false">
      <c r="A56" s="41" t="n">
        <v>46076</v>
      </c>
      <c r="B56" s="37" t="s">
        <v>50</v>
      </c>
      <c r="C56" s="37" t="s">
        <v>100</v>
      </c>
      <c r="D56" s="37" t="s">
        <v>55</v>
      </c>
      <c r="E56" s="37" t="s">
        <v>93</v>
      </c>
      <c r="F56" s="37" t="n">
        <v>3</v>
      </c>
      <c r="G56" s="37" t="s">
        <v>81</v>
      </c>
      <c r="H56" s="42" t="n">
        <v>1508</v>
      </c>
      <c r="I56" s="43" t="n">
        <f aca="false">F56*H56</f>
        <v>4524</v>
      </c>
      <c r="J56" s="41" t="n">
        <v>46256</v>
      </c>
      <c r="K56" s="37" t="s">
        <v>82</v>
      </c>
    </row>
    <row r="57" customFormat="false" ht="15" hidden="false" customHeight="false" outlineLevel="0" collapsed="false">
      <c r="A57" s="38" t="n">
        <v>46210</v>
      </c>
      <c r="B57" s="36" t="s">
        <v>50</v>
      </c>
      <c r="C57" s="36" t="s">
        <v>92</v>
      </c>
      <c r="D57" s="36" t="s">
        <v>55</v>
      </c>
      <c r="E57" s="36" t="s">
        <v>93</v>
      </c>
      <c r="F57" s="36" t="n">
        <v>1</v>
      </c>
      <c r="G57" s="36" t="s">
        <v>81</v>
      </c>
      <c r="H57" s="39" t="n">
        <v>1450</v>
      </c>
      <c r="I57" s="40" t="n">
        <f aca="false">F57*H57</f>
        <v>1450</v>
      </c>
      <c r="J57" s="38"/>
      <c r="K57" s="36" t="s">
        <v>82</v>
      </c>
    </row>
    <row r="58" customFormat="false" ht="15" hidden="false" customHeight="false" outlineLevel="0" collapsed="false">
      <c r="A58" s="41" t="n">
        <v>46081</v>
      </c>
      <c r="B58" s="37" t="s">
        <v>52</v>
      </c>
      <c r="C58" s="37" t="s">
        <v>87</v>
      </c>
      <c r="D58" s="37" t="s">
        <v>60</v>
      </c>
      <c r="E58" s="37" t="s">
        <v>88</v>
      </c>
      <c r="F58" s="37" t="n">
        <v>50</v>
      </c>
      <c r="G58" s="37" t="s">
        <v>81</v>
      </c>
      <c r="H58" s="42" t="n">
        <v>11</v>
      </c>
      <c r="I58" s="43" t="n">
        <f aca="false">F58*H58</f>
        <v>550</v>
      </c>
      <c r="J58" s="41" t="n">
        <v>46446</v>
      </c>
      <c r="K58" s="37" t="s">
        <v>82</v>
      </c>
    </row>
    <row r="59" customFormat="false" ht="15" hidden="false" customHeight="false" outlineLevel="0" collapsed="false">
      <c r="A59" s="38" t="n">
        <v>46115</v>
      </c>
      <c r="B59" s="36" t="s">
        <v>52</v>
      </c>
      <c r="C59" s="36" t="s">
        <v>79</v>
      </c>
      <c r="D59" s="36" t="s">
        <v>65</v>
      </c>
      <c r="E59" s="36" t="s">
        <v>80</v>
      </c>
      <c r="F59" s="36" t="n">
        <v>2</v>
      </c>
      <c r="G59" s="36" t="s">
        <v>81</v>
      </c>
      <c r="H59" s="39" t="n">
        <v>120</v>
      </c>
      <c r="I59" s="40" t="n">
        <f aca="false">F59*H59</f>
        <v>240</v>
      </c>
      <c r="J59" s="38"/>
      <c r="K59" s="36" t="s">
        <v>82</v>
      </c>
    </row>
    <row r="60" customFormat="false" ht="15" hidden="false" customHeight="false" outlineLevel="0" collapsed="false">
      <c r="A60" s="41" t="n">
        <v>46076</v>
      </c>
      <c r="B60" s="37" t="s">
        <v>52</v>
      </c>
      <c r="C60" s="37" t="s">
        <v>94</v>
      </c>
      <c r="D60" s="37" t="s">
        <v>58</v>
      </c>
      <c r="E60" s="37" t="s">
        <v>103</v>
      </c>
      <c r="F60" s="37" t="n">
        <v>2</v>
      </c>
      <c r="G60" s="37" t="s">
        <v>81</v>
      </c>
      <c r="H60" s="42" t="n">
        <v>247.8</v>
      </c>
      <c r="I60" s="43" t="n">
        <f aca="false">F60*H60</f>
        <v>495.6</v>
      </c>
      <c r="J60" s="41" t="n">
        <v>46256</v>
      </c>
      <c r="K60" s="37" t="s">
        <v>82</v>
      </c>
    </row>
    <row r="61" customFormat="false" ht="15" hidden="false" customHeight="false" outlineLevel="0" collapsed="false">
      <c r="A61" s="38" t="n">
        <v>46047</v>
      </c>
      <c r="B61" s="36" t="s">
        <v>52</v>
      </c>
      <c r="C61" s="36" t="s">
        <v>105</v>
      </c>
      <c r="D61" s="36" t="s">
        <v>59</v>
      </c>
      <c r="E61" s="36" t="s">
        <v>91</v>
      </c>
      <c r="F61" s="36" t="n">
        <v>1</v>
      </c>
      <c r="G61" s="36" t="s">
        <v>81</v>
      </c>
      <c r="H61" s="39" t="n">
        <v>4074</v>
      </c>
      <c r="I61" s="40" t="n">
        <f aca="false">F61*H61</f>
        <v>4074</v>
      </c>
      <c r="J61" s="38"/>
      <c r="K61" s="36" t="s">
        <v>82</v>
      </c>
    </row>
    <row r="62" customFormat="false" ht="15" hidden="false" customHeight="false" outlineLevel="0" collapsed="false">
      <c r="A62" s="41" t="n">
        <v>46126</v>
      </c>
      <c r="B62" s="37" t="s">
        <v>54</v>
      </c>
      <c r="C62" s="37" t="s">
        <v>92</v>
      </c>
      <c r="D62" s="37" t="s">
        <v>55</v>
      </c>
      <c r="E62" s="37" t="s">
        <v>101</v>
      </c>
      <c r="F62" s="37" t="n">
        <v>50</v>
      </c>
      <c r="G62" s="37" t="s">
        <v>81</v>
      </c>
      <c r="H62" s="42" t="n">
        <v>36.86</v>
      </c>
      <c r="I62" s="43" t="n">
        <f aca="false">F62*H62</f>
        <v>1843</v>
      </c>
      <c r="J62" s="41" t="n">
        <v>46156</v>
      </c>
      <c r="K62" s="37" t="s">
        <v>82</v>
      </c>
    </row>
    <row r="63" customFormat="false" ht="15" hidden="false" customHeight="false" outlineLevel="0" collapsed="false">
      <c r="A63" s="38" t="n">
        <v>46201</v>
      </c>
      <c r="B63" s="36" t="s">
        <v>56</v>
      </c>
      <c r="C63" s="36" t="s">
        <v>108</v>
      </c>
      <c r="D63" s="36" t="s">
        <v>51</v>
      </c>
      <c r="E63" s="36" t="s">
        <v>99</v>
      </c>
      <c r="F63" s="36" t="n">
        <v>100</v>
      </c>
      <c r="G63" s="36" t="s">
        <v>81</v>
      </c>
      <c r="H63" s="39" t="n">
        <v>28</v>
      </c>
      <c r="I63" s="40" t="n">
        <f aca="false">F63*H63</f>
        <v>2800</v>
      </c>
      <c r="J63" s="38"/>
      <c r="K63" s="36" t="s">
        <v>82</v>
      </c>
    </row>
    <row r="64" customFormat="false" ht="15" hidden="false" customHeight="false" outlineLevel="0" collapsed="false">
      <c r="A64" s="41" t="n">
        <v>46195</v>
      </c>
      <c r="B64" s="37" t="s">
        <v>52</v>
      </c>
      <c r="C64" s="37" t="s">
        <v>94</v>
      </c>
      <c r="D64" s="37" t="s">
        <v>58</v>
      </c>
      <c r="E64" s="37" t="s">
        <v>109</v>
      </c>
      <c r="F64" s="37" t="n">
        <v>2</v>
      </c>
      <c r="G64" s="37" t="s">
        <v>81</v>
      </c>
      <c r="H64" s="42" t="n">
        <v>140.25</v>
      </c>
      <c r="I64" s="43" t="n">
        <f aca="false">F64*H64</f>
        <v>280.5</v>
      </c>
      <c r="J64" s="41"/>
      <c r="K64" s="37" t="s">
        <v>82</v>
      </c>
    </row>
  </sheetData>
  <autoFilter ref="A4:K64"/>
  <dataValidations count="2">
    <dataValidation allowBlank="true" errorStyle="stop" operator="between" showDropDown="false" showErrorMessage="false" showInputMessage="false" sqref="B5:B1064" type="list">
      <formula1>Lists!$A$5:$A$60</formula1>
      <formula2>0</formula2>
    </dataValidation>
    <dataValidation allowBlank="true" errorStyle="stop" operator="between" showDropDown="false" showErrorMessage="false" showInputMessage="false" sqref="D5:D1064" type="list">
      <formula1>Lists!$B$5:$B$60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6" min="2" style="0" width="15"/>
    <col collapsed="false" customWidth="true" hidden="false" outlineLevel="0" max="7" min="7" style="0" width="9"/>
  </cols>
  <sheetData>
    <row r="1" customFormat="false" ht="22.05" hidden="false" customHeight="false" outlineLevel="0" collapsed="false">
      <c r="A1" s="32" t="s">
        <v>110</v>
      </c>
    </row>
    <row r="2" customFormat="false" ht="15" hidden="false" customHeight="false" outlineLevel="0" collapsed="false">
      <c r="A2" s="33" t="s">
        <v>111</v>
      </c>
    </row>
    <row r="4" customFormat="false" ht="30" hidden="false" customHeight="true" outlineLevel="0" collapsed="false">
      <c r="A4" s="34" t="s">
        <v>71</v>
      </c>
      <c r="B4" s="35" t="str">
        <f aca="false">Lists!A5</f>
        <v>Abu Dhabi Main</v>
      </c>
      <c r="C4" s="35" t="str">
        <f aca="false">Lists!A6</f>
        <v>Dubai Clinic</v>
      </c>
      <c r="D4" s="35" t="str">
        <f aca="false">Lists!A7</f>
        <v>Al Ain</v>
      </c>
      <c r="E4" s="35" t="str">
        <f aca="false">Lists!A8</f>
        <v>Sharjah</v>
      </c>
      <c r="F4" s="35" t="s">
        <v>112</v>
      </c>
      <c r="G4" s="35" t="s">
        <v>113</v>
      </c>
    </row>
    <row r="5" customFormat="false" ht="15" hidden="false" customHeight="false" outlineLevel="0" collapsed="false">
      <c r="A5" s="44" t="str">
        <f aca="false">Lists!B5</f>
        <v>Pharmaceuticals</v>
      </c>
      <c r="B5" s="45" t="n">
        <f aca="false">SUMIFS(Data!$I:$I,Data!$D:$D,$A5,Data!$B:$B,B$4)</f>
        <v>1781</v>
      </c>
      <c r="C5" s="45" t="n">
        <f aca="false">SUMIFS(Data!$I:$I,Data!$D:$D,$A5,Data!$B:$B,C$4)</f>
        <v>0</v>
      </c>
      <c r="D5" s="45" t="n">
        <f aca="false">SUMIFS(Data!$I:$I,Data!$D:$D,$A5,Data!$B:$B,D$4)</f>
        <v>357</v>
      </c>
      <c r="E5" s="45" t="n">
        <f aca="false">SUMIFS(Data!$I:$I,Data!$D:$D,$A5,Data!$B:$B,E$4)</f>
        <v>6259.6</v>
      </c>
      <c r="F5" s="45" t="n">
        <f aca="false">SUM(B5:E5)</f>
        <v>8397.6</v>
      </c>
      <c r="G5" s="46" t="n">
        <f aca="false">IF($F$17=0,0,F5/$F$17)</f>
        <v>0.0980021683341522</v>
      </c>
    </row>
    <row r="6" customFormat="false" ht="15" hidden="false" customHeight="false" outlineLevel="0" collapsed="false">
      <c r="A6" s="47" t="str">
        <f aca="false">Lists!B6</f>
        <v>Medical &amp; surgical consumables</v>
      </c>
      <c r="B6" s="48" t="n">
        <f aca="false">SUMIFS(Data!$I:$I,Data!$D:$D,$A6,Data!$B:$B,B$4)</f>
        <v>32.45</v>
      </c>
      <c r="C6" s="48" t="n">
        <f aca="false">SUMIFS(Data!$I:$I,Data!$D:$D,$A6,Data!$B:$B,C$4)</f>
        <v>389.8</v>
      </c>
      <c r="D6" s="48" t="n">
        <f aca="false">SUMIFS(Data!$I:$I,Data!$D:$D,$A6,Data!$B:$B,D$4)</f>
        <v>545.2</v>
      </c>
      <c r="E6" s="48" t="n">
        <f aca="false">SUMIFS(Data!$I:$I,Data!$D:$D,$A6,Data!$B:$B,E$4)</f>
        <v>2414</v>
      </c>
      <c r="F6" s="48" t="n">
        <f aca="false">SUM(B6:E6)</f>
        <v>3381.45</v>
      </c>
      <c r="G6" s="49" t="n">
        <f aca="false">IF($F$17=0,0,F6/$F$17)</f>
        <v>0.0394623978414689</v>
      </c>
    </row>
    <row r="7" customFormat="false" ht="15" hidden="false" customHeight="false" outlineLevel="0" collapsed="false">
      <c r="A7" s="44" t="str">
        <f aca="false">Lists!B7</f>
        <v>Devices &amp; implants</v>
      </c>
      <c r="B7" s="45" t="n">
        <f aca="false">SUMIFS(Data!$I:$I,Data!$D:$D,$A7,Data!$B:$B,B$4)</f>
        <v>5974</v>
      </c>
      <c r="C7" s="45" t="n">
        <f aca="false">SUMIFS(Data!$I:$I,Data!$D:$D,$A7,Data!$B:$B,C$4)</f>
        <v>8007.7</v>
      </c>
      <c r="D7" s="45" t="n">
        <f aca="false">SUMIFS(Data!$I:$I,Data!$D:$D,$A7,Data!$B:$B,D$4)</f>
        <v>1843</v>
      </c>
      <c r="E7" s="45" t="n">
        <f aca="false">SUMIFS(Data!$I:$I,Data!$D:$D,$A7,Data!$B:$B,E$4)</f>
        <v>14112</v>
      </c>
      <c r="F7" s="45" t="n">
        <f aca="false">SUM(B7:E7)</f>
        <v>29936.7</v>
      </c>
      <c r="G7" s="46" t="n">
        <f aca="false">IF($F$17=0,0,F7/$F$17)</f>
        <v>0.349369047438436</v>
      </c>
    </row>
    <row r="8" customFormat="false" ht="15" hidden="false" customHeight="false" outlineLevel="0" collapsed="false">
      <c r="A8" s="47" t="str">
        <f aca="false">Lists!B8</f>
        <v>Diagnostic &amp; imaging</v>
      </c>
      <c r="B8" s="48" t="n">
        <f aca="false">SUMIFS(Data!$I:$I,Data!$D:$D,$A8,Data!$B:$B,B$4)</f>
        <v>0</v>
      </c>
      <c r="C8" s="48" t="n">
        <f aca="false">SUMIFS(Data!$I:$I,Data!$D:$D,$A8,Data!$B:$B,C$4)</f>
        <v>119</v>
      </c>
      <c r="D8" s="48" t="n">
        <f aca="false">SUMIFS(Data!$I:$I,Data!$D:$D,$A8,Data!$B:$B,D$4)</f>
        <v>1206.8</v>
      </c>
      <c r="E8" s="48" t="n">
        <f aca="false">SUMIFS(Data!$I:$I,Data!$D:$D,$A8,Data!$B:$B,E$4)</f>
        <v>3081.8</v>
      </c>
      <c r="F8" s="48" t="n">
        <f aca="false">SUM(B8:E8)</f>
        <v>4407.6</v>
      </c>
      <c r="G8" s="49" t="n">
        <f aca="false">IF($F$17=0,0,F8/$F$17)</f>
        <v>0.0514378342799859</v>
      </c>
    </row>
    <row r="9" customFormat="false" ht="15" hidden="false" customHeight="false" outlineLevel="0" collapsed="false">
      <c r="A9" s="44" t="str">
        <f aca="false">Lists!B9</f>
        <v>Lab reagents</v>
      </c>
      <c r="B9" s="45" t="n">
        <f aca="false">SUMIFS(Data!$I:$I,Data!$D:$D,$A9,Data!$B:$B,B$4)</f>
        <v>1785</v>
      </c>
      <c r="C9" s="45" t="n">
        <f aca="false">SUMIFS(Data!$I:$I,Data!$D:$D,$A9,Data!$B:$B,C$4)</f>
        <v>776.1</v>
      </c>
      <c r="D9" s="45" t="n">
        <f aca="false">SUMIFS(Data!$I:$I,Data!$D:$D,$A9,Data!$B:$B,D$4)</f>
        <v>3969</v>
      </c>
      <c r="E9" s="45" t="n">
        <f aca="false">SUMIFS(Data!$I:$I,Data!$D:$D,$A9,Data!$B:$B,E$4)</f>
        <v>2625</v>
      </c>
      <c r="F9" s="45" t="n">
        <f aca="false">SUM(B9:E9)</f>
        <v>9155.1</v>
      </c>
      <c r="G9" s="46" t="n">
        <f aca="false">IF($F$17=0,0,F9/$F$17)</f>
        <v>0.106842389648947</v>
      </c>
    </row>
    <row r="10" customFormat="false" ht="15" hidden="false" customHeight="false" outlineLevel="0" collapsed="false">
      <c r="A10" s="47" t="str">
        <f aca="false">Lists!B10</f>
        <v>Hospital equipment</v>
      </c>
      <c r="B10" s="48" t="n">
        <f aca="false">SUMIFS(Data!$I:$I,Data!$D:$D,$A10,Data!$B:$B,B$4)</f>
        <v>6567.5</v>
      </c>
      <c r="C10" s="48" t="n">
        <f aca="false">SUMIFS(Data!$I:$I,Data!$D:$D,$A10,Data!$B:$B,C$4)</f>
        <v>14660</v>
      </c>
      <c r="D10" s="48" t="n">
        <f aca="false">SUMIFS(Data!$I:$I,Data!$D:$D,$A10,Data!$B:$B,D$4)</f>
        <v>0</v>
      </c>
      <c r="E10" s="48" t="n">
        <f aca="false">SUMIFS(Data!$I:$I,Data!$D:$D,$A10,Data!$B:$B,E$4)</f>
        <v>0</v>
      </c>
      <c r="F10" s="48" t="n">
        <f aca="false">SUM(B10:E10)</f>
        <v>21227.5</v>
      </c>
      <c r="G10" s="49" t="n">
        <f aca="false">IF($F$17=0,0,F10/$F$17)</f>
        <v>0.247730426349578</v>
      </c>
    </row>
    <row r="11" customFormat="false" ht="15" hidden="false" customHeight="false" outlineLevel="0" collapsed="false">
      <c r="A11" s="44" t="str">
        <f aca="false">Lists!B11</f>
        <v>PPE &amp; infection control</v>
      </c>
      <c r="B11" s="45" t="n">
        <f aca="false">SUMIFS(Data!$I:$I,Data!$D:$D,$A11,Data!$B:$B,B$4)</f>
        <v>3713</v>
      </c>
      <c r="C11" s="45" t="n">
        <f aca="false">SUMIFS(Data!$I:$I,Data!$D:$D,$A11,Data!$B:$B,C$4)</f>
        <v>1100</v>
      </c>
      <c r="D11" s="45" t="n">
        <f aca="false">SUMIFS(Data!$I:$I,Data!$D:$D,$A11,Data!$B:$B,D$4)</f>
        <v>747.35</v>
      </c>
      <c r="E11" s="45" t="n">
        <f aca="false">SUMIFS(Data!$I:$I,Data!$D:$D,$A11,Data!$B:$B,E$4)</f>
        <v>0</v>
      </c>
      <c r="F11" s="45" t="n">
        <f aca="false">SUM(B11:E11)</f>
        <v>5560.35</v>
      </c>
      <c r="G11" s="46" t="n">
        <f aca="false">IF($F$17=0,0,F11/$F$17)</f>
        <v>0.0648907255283418</v>
      </c>
    </row>
    <row r="12" customFormat="false" ht="15" hidden="false" customHeight="false" outlineLevel="0" collapsed="false">
      <c r="A12" s="47" t="str">
        <f aca="false">Lists!B12</f>
        <v>Dental</v>
      </c>
      <c r="B12" s="48" t="n">
        <f aca="false">SUMIFS(Data!$I:$I,Data!$D:$D,$A12,Data!$B:$B,B$4)</f>
        <v>0</v>
      </c>
      <c r="C12" s="48" t="n">
        <f aca="false">SUMIFS(Data!$I:$I,Data!$D:$D,$A12,Data!$B:$B,C$4)</f>
        <v>0</v>
      </c>
      <c r="D12" s="48" t="n">
        <f aca="false">SUMIFS(Data!$I:$I,Data!$D:$D,$A12,Data!$B:$B,D$4)</f>
        <v>0</v>
      </c>
      <c r="E12" s="48" t="n">
        <f aca="false">SUMIFS(Data!$I:$I,Data!$D:$D,$A12,Data!$B:$B,E$4)</f>
        <v>0</v>
      </c>
      <c r="F12" s="48" t="n">
        <f aca="false">SUM(B12:E12)</f>
        <v>0</v>
      </c>
      <c r="G12" s="49" t="n">
        <f aca="false">IF($F$17=0,0,F12/$F$17)</f>
        <v>0</v>
      </c>
    </row>
    <row r="13" customFormat="false" ht="15" hidden="false" customHeight="false" outlineLevel="0" collapsed="false">
      <c r="A13" s="44" t="str">
        <f aca="false">Lists!B13</f>
        <v>Capital equipment</v>
      </c>
      <c r="B13" s="45" t="n">
        <f aca="false">SUMIFS(Data!$I:$I,Data!$D:$D,$A13,Data!$B:$B,B$4)</f>
        <v>0</v>
      </c>
      <c r="C13" s="45" t="n">
        <f aca="false">SUMIFS(Data!$I:$I,Data!$D:$D,$A13,Data!$B:$B,C$4)</f>
        <v>0</v>
      </c>
      <c r="D13" s="45" t="n">
        <f aca="false">SUMIFS(Data!$I:$I,Data!$D:$D,$A13,Data!$B:$B,D$4)</f>
        <v>0</v>
      </c>
      <c r="E13" s="45" t="n">
        <f aca="false">SUMIFS(Data!$I:$I,Data!$D:$D,$A13,Data!$B:$B,E$4)</f>
        <v>0</v>
      </c>
      <c r="F13" s="45" t="n">
        <f aca="false">SUM(B13:E13)</f>
        <v>0</v>
      </c>
      <c r="G13" s="46" t="n">
        <f aca="false">IF($F$17=0,0,F13/$F$17)</f>
        <v>0</v>
      </c>
    </row>
    <row r="14" customFormat="false" ht="15" hidden="false" customHeight="false" outlineLevel="0" collapsed="false">
      <c r="A14" s="47" t="str">
        <f aca="false">Lists!B14</f>
        <v>Biomedical &amp; facilities</v>
      </c>
      <c r="B14" s="48" t="n">
        <f aca="false">SUMIFS(Data!$I:$I,Data!$D:$D,$A14,Data!$B:$B,B$4)</f>
        <v>0</v>
      </c>
      <c r="C14" s="48" t="n">
        <f aca="false">SUMIFS(Data!$I:$I,Data!$D:$D,$A14,Data!$B:$B,C$4)</f>
        <v>0</v>
      </c>
      <c r="D14" s="48" t="n">
        <f aca="false">SUMIFS(Data!$I:$I,Data!$D:$D,$A14,Data!$B:$B,D$4)</f>
        <v>0</v>
      </c>
      <c r="E14" s="48" t="n">
        <f aca="false">SUMIFS(Data!$I:$I,Data!$D:$D,$A14,Data!$B:$B,E$4)</f>
        <v>0</v>
      </c>
      <c r="F14" s="48" t="n">
        <f aca="false">SUM(B14:E14)</f>
        <v>0</v>
      </c>
      <c r="G14" s="49" t="n">
        <f aca="false">IF($F$17=0,0,F14/$F$17)</f>
        <v>0</v>
      </c>
    </row>
    <row r="15" customFormat="false" ht="15" hidden="false" customHeight="false" outlineLevel="0" collapsed="false">
      <c r="A15" s="44" t="str">
        <f aca="false">Lists!B15</f>
        <v>IT &amp; health-tech</v>
      </c>
      <c r="B15" s="45" t="n">
        <f aca="false">SUMIFS(Data!$I:$I,Data!$D:$D,$A15,Data!$B:$B,B$4)</f>
        <v>0</v>
      </c>
      <c r="C15" s="45" t="n">
        <f aca="false">SUMIFS(Data!$I:$I,Data!$D:$D,$A15,Data!$B:$B,C$4)</f>
        <v>0</v>
      </c>
      <c r="D15" s="45" t="n">
        <f aca="false">SUMIFS(Data!$I:$I,Data!$D:$D,$A15,Data!$B:$B,D$4)</f>
        <v>0</v>
      </c>
      <c r="E15" s="45" t="n">
        <f aca="false">SUMIFS(Data!$I:$I,Data!$D:$D,$A15,Data!$B:$B,E$4)</f>
        <v>0</v>
      </c>
      <c r="F15" s="45" t="n">
        <f aca="false">SUM(B15:E15)</f>
        <v>0</v>
      </c>
      <c r="G15" s="46" t="n">
        <f aca="false">IF($F$17=0,0,F15/$F$17)</f>
        <v>0</v>
      </c>
    </row>
    <row r="16" customFormat="false" ht="15" hidden="false" customHeight="false" outlineLevel="0" collapsed="false">
      <c r="A16" s="47" t="str">
        <f aca="false">Lists!B16</f>
        <v>Logistics &amp; cold chain</v>
      </c>
      <c r="B16" s="48" t="n">
        <f aca="false">SUMIFS(Data!$I:$I,Data!$D:$D,$A16,Data!$B:$B,B$4)</f>
        <v>693.6</v>
      </c>
      <c r="C16" s="48" t="n">
        <f aca="false">SUMIFS(Data!$I:$I,Data!$D:$D,$A16,Data!$B:$B,C$4)</f>
        <v>1440</v>
      </c>
      <c r="D16" s="48" t="n">
        <f aca="false">SUMIFS(Data!$I:$I,Data!$D:$D,$A16,Data!$B:$B,D$4)</f>
        <v>1488</v>
      </c>
      <c r="E16" s="48" t="n">
        <f aca="false">SUMIFS(Data!$I:$I,Data!$D:$D,$A16,Data!$B:$B,E$4)</f>
        <v>0</v>
      </c>
      <c r="F16" s="48" t="n">
        <f aca="false">SUM(B16:E16)</f>
        <v>3621.6</v>
      </c>
      <c r="G16" s="49" t="n">
        <f aca="false">IF($F$17=0,0,F16/$F$17)</f>
        <v>0.0422650105790899</v>
      </c>
    </row>
    <row r="17" customFormat="false" ht="15" hidden="false" customHeight="false" outlineLevel="0" collapsed="false">
      <c r="A17" s="50" t="s">
        <v>112</v>
      </c>
      <c r="B17" s="51" t="n">
        <f aca="false">SUM(B5:B16)</f>
        <v>20546.55</v>
      </c>
      <c r="C17" s="51" t="n">
        <f aca="false">SUM(C5:C16)</f>
        <v>26492.6</v>
      </c>
      <c r="D17" s="51" t="n">
        <f aca="false">SUM(D5:D16)</f>
        <v>10156.35</v>
      </c>
      <c r="E17" s="51" t="n">
        <f aca="false">SUM(E5:E16)</f>
        <v>28492.4</v>
      </c>
      <c r="F17" s="51" t="n">
        <f aca="false">SUM(F5:F16)</f>
        <v>85687.9</v>
      </c>
      <c r="G17" s="52" t="n">
        <f aca="false">SUM(G5:G16)</f>
        <v>1</v>
      </c>
    </row>
    <row r="19" customFormat="false" ht="15" hidden="false" customHeight="false" outlineLevel="0" collapsed="false">
      <c r="A19" s="20" t="s">
        <v>114</v>
      </c>
    </row>
  </sheetData>
  <conditionalFormatting sqref="F5:F16">
    <cfRule type="dataBar" priority="2">
      <dataBar showValue="1" minLength="10" maxLength="90">
        <cfvo type="num" val="0"/>
        <cfvo type="max" val="0"/>
        <color rgb="FFFF6B00"/>
      </dataBar>
      <extLst>
        <ext xmlns:x14="http://schemas.microsoft.com/office/spreadsheetml/2009/9/main" uri="{B025F937-C7B1-47D3-B67F-A62EFF666E3E}">
          <x14:id>{CD475D5D-3A79-40EA-89F7-BFDF35D08C6B}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D475D5D-3A79-40EA-89F7-BFDF35D08C6B}">
            <x14:dataBar minLength="10" maxLength="90" axisPosition="none" gradient="true">
              <x14:cfvo type="num">
                <xm:f>0</xm:f>
              </x14:cfvo>
              <x14:cfvo type="max"/>
              <x14:negativeFillColor rgb="FFFF6B00"/>
              <x14:axisColor rgb="FF000000"/>
            </x14:dataBar>
          </x14:cfRule>
          <xm:sqref>F5:F16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5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5"/>
  </cols>
  <sheetData>
    <row r="1" customFormat="false" ht="22.05" hidden="false" customHeight="false" outlineLevel="0" collapsed="false">
      <c r="A1" s="32" t="s">
        <v>115</v>
      </c>
    </row>
    <row r="2" customFormat="false" ht="15" hidden="false" customHeight="false" outlineLevel="0" collapsed="false">
      <c r="A2" s="33" t="s">
        <v>116</v>
      </c>
    </row>
    <row r="4" customFormat="false" ht="30" hidden="false" customHeight="true" outlineLevel="0" collapsed="false">
      <c r="A4" s="34" t="s">
        <v>70</v>
      </c>
      <c r="B4" s="35" t="s">
        <v>117</v>
      </c>
      <c r="C4" s="35" t="s">
        <v>113</v>
      </c>
      <c r="D4" s="35" t="s">
        <v>118</v>
      </c>
      <c r="E4" s="35" t="s">
        <v>119</v>
      </c>
      <c r="F4" s="35" t="s">
        <v>120</v>
      </c>
    </row>
    <row r="5" customFormat="false" ht="15" hidden="false" customHeight="false" outlineLevel="0" collapsed="false">
      <c r="A5" s="36" t="s">
        <v>107</v>
      </c>
      <c r="B5" s="45" t="n">
        <f aca="false">SUMIFS(Data!$I:$I,Data!$C:$C,A5)</f>
        <v>1400</v>
      </c>
      <c r="C5" s="46" t="n">
        <f aca="false">IF($B$17=0,0,B5/$B$17)</f>
        <v>0.0163383628260233</v>
      </c>
      <c r="D5" s="46" t="n">
        <f aca="false">SUM($C$5:C5)</f>
        <v>0.0163383628260233</v>
      </c>
      <c r="E5" s="44" t="n">
        <f aca="false">COUNTIFS(Data!$C:$C,A5)</f>
        <v>1</v>
      </c>
      <c r="F5" s="45" t="n">
        <f aca="false">IF(E5=0,0,B5/E5)</f>
        <v>1400</v>
      </c>
    </row>
    <row r="6" customFormat="false" ht="15" hidden="false" customHeight="false" outlineLevel="0" collapsed="false">
      <c r="A6" s="37" t="s">
        <v>79</v>
      </c>
      <c r="B6" s="48" t="n">
        <f aca="false">SUMIFS(Data!$I:$I,Data!$C:$C,A6)</f>
        <v>3621.6</v>
      </c>
      <c r="C6" s="49" t="n">
        <f aca="false">IF($B$17=0,0,B6/$B$17)</f>
        <v>0.0422650105790899</v>
      </c>
      <c r="D6" s="49" t="n">
        <f aca="false">SUM($C$5:C6)</f>
        <v>0.0586033734051132</v>
      </c>
      <c r="E6" s="47" t="n">
        <f aca="false">COUNTIFS(Data!$C:$C,A6)</f>
        <v>7</v>
      </c>
      <c r="F6" s="48" t="n">
        <f aca="false">IF(E6=0,0,B6/E6)</f>
        <v>517.371428571429</v>
      </c>
    </row>
    <row r="7" customFormat="false" ht="15" hidden="false" customHeight="false" outlineLevel="0" collapsed="false">
      <c r="A7" s="36" t="s">
        <v>94</v>
      </c>
      <c r="B7" s="45" t="n">
        <f aca="false">SUMIFS(Data!$I:$I,Data!$C:$C,A7)</f>
        <v>7524.5</v>
      </c>
      <c r="C7" s="46" t="n">
        <f aca="false">IF($B$17=0,0,B7/$B$17)</f>
        <v>0.0878128650602944</v>
      </c>
      <c r="D7" s="46" t="n">
        <f aca="false">SUM($C$5:C7)</f>
        <v>0.146416238465408</v>
      </c>
      <c r="E7" s="44" t="n">
        <f aca="false">COUNTIFS(Data!$C:$C,A7)</f>
        <v>7</v>
      </c>
      <c r="F7" s="45" t="n">
        <f aca="false">IF(E7=0,0,B7/E7)</f>
        <v>1074.92857142857</v>
      </c>
    </row>
    <row r="8" customFormat="false" ht="15" hidden="false" customHeight="false" outlineLevel="0" collapsed="false">
      <c r="A8" s="37" t="s">
        <v>83</v>
      </c>
      <c r="B8" s="48" t="n">
        <f aca="false">SUMIFS(Data!$I:$I,Data!$C:$C,A8)</f>
        <v>4375.55</v>
      </c>
      <c r="C8" s="49" t="n">
        <f aca="false">IF($B$17=0,0,B8/$B$17)</f>
        <v>0.0510638024738615</v>
      </c>
      <c r="D8" s="49" t="n">
        <f aca="false">SUM($C$5:C8)</f>
        <v>0.197480040939269</v>
      </c>
      <c r="E8" s="47" t="n">
        <f aca="false">COUNTIFS(Data!$C:$C,A8)</f>
        <v>7</v>
      </c>
      <c r="F8" s="48" t="n">
        <f aca="false">IF(E8=0,0,B8/E8)</f>
        <v>625.078571428571</v>
      </c>
    </row>
    <row r="9" customFormat="false" ht="15" hidden="false" customHeight="false" outlineLevel="0" collapsed="false">
      <c r="A9" s="36" t="s">
        <v>89</v>
      </c>
      <c r="B9" s="45" t="n">
        <f aca="false">SUMIFS(Data!$I:$I,Data!$C:$C,A9)</f>
        <v>12720.2</v>
      </c>
      <c r="C9" s="46" t="n">
        <f aca="false">IF($B$17=0,0,B9/$B$17)</f>
        <v>0.148448030585415</v>
      </c>
      <c r="D9" s="46" t="n">
        <f aca="false">SUM($C$5:C9)</f>
        <v>0.345928071524684</v>
      </c>
      <c r="E9" s="44" t="n">
        <f aca="false">COUNTIFS(Data!$C:$C,A9)</f>
        <v>5</v>
      </c>
      <c r="F9" s="45" t="n">
        <f aca="false">IF(E9=0,0,B9/E9)</f>
        <v>2544.04</v>
      </c>
    </row>
    <row r="10" customFormat="false" ht="15" hidden="false" customHeight="false" outlineLevel="0" collapsed="false">
      <c r="A10" s="37" t="s">
        <v>102</v>
      </c>
      <c r="B10" s="48" t="n">
        <f aca="false">SUMIFS(Data!$I:$I,Data!$C:$C,A10)</f>
        <v>5754</v>
      </c>
      <c r="C10" s="49" t="n">
        <f aca="false">IF($B$17=0,0,B10/$B$17)</f>
        <v>0.0671506712149557</v>
      </c>
      <c r="D10" s="49" t="n">
        <f aca="false">SUM($C$5:C10)</f>
        <v>0.41307874273964</v>
      </c>
      <c r="E10" s="47" t="n">
        <f aca="false">COUNTIFS(Data!$C:$C,A10)</f>
        <v>3</v>
      </c>
      <c r="F10" s="48" t="n">
        <f aca="false">IF(E10=0,0,B10/E10)</f>
        <v>1918</v>
      </c>
    </row>
    <row r="11" customFormat="false" ht="15" hidden="false" customHeight="false" outlineLevel="0" collapsed="false">
      <c r="A11" s="36" t="s">
        <v>105</v>
      </c>
      <c r="B11" s="45" t="n">
        <f aca="false">SUMIFS(Data!$I:$I,Data!$C:$C,A11)</f>
        <v>8791.5</v>
      </c>
      <c r="C11" s="46" t="n">
        <f aca="false">IF($B$17=0,0,B11/$B$17)</f>
        <v>0.102599083417845</v>
      </c>
      <c r="D11" s="46" t="n">
        <f aca="false">SUM($C$5:C11)</f>
        <v>0.515677826157485</v>
      </c>
      <c r="E11" s="44" t="n">
        <f aca="false">COUNTIFS(Data!$C:$C,A11)</f>
        <v>2</v>
      </c>
      <c r="F11" s="45" t="n">
        <f aca="false">IF(E11=0,0,B11/E11)</f>
        <v>4395.75</v>
      </c>
    </row>
    <row r="12" customFormat="false" ht="15" hidden="false" customHeight="false" outlineLevel="0" collapsed="false">
      <c r="A12" s="37" t="s">
        <v>108</v>
      </c>
      <c r="B12" s="48" t="n">
        <f aca="false">SUMIFS(Data!$I:$I,Data!$C:$C,A12)</f>
        <v>3181</v>
      </c>
      <c r="C12" s="49" t="n">
        <f aca="false">IF($B$17=0,0,B12/$B$17)</f>
        <v>0.0371230943925572</v>
      </c>
      <c r="D12" s="49" t="n">
        <f aca="false">SUM($C$5:C12)</f>
        <v>0.552800920550043</v>
      </c>
      <c r="E12" s="47" t="n">
        <f aca="false">COUNTIFS(Data!$C:$C,A12)</f>
        <v>2</v>
      </c>
      <c r="F12" s="48" t="n">
        <f aca="false">IF(E12=0,0,B12/E12)</f>
        <v>1590.5</v>
      </c>
    </row>
    <row r="13" customFormat="false" ht="15" hidden="false" customHeight="false" outlineLevel="0" collapsed="false">
      <c r="A13" s="36" t="s">
        <v>100</v>
      </c>
      <c r="B13" s="45" t="n">
        <f aca="false">SUMIFS(Data!$I:$I,Data!$C:$C,A13)</f>
        <v>15478.7</v>
      </c>
      <c r="C13" s="46" t="n">
        <f aca="false">IF($B$17=0,0,B13/$B$17)</f>
        <v>0.180640440482262</v>
      </c>
      <c r="D13" s="46" t="n">
        <f aca="false">SUM($C$5:C13)</f>
        <v>0.733441361032304</v>
      </c>
      <c r="E13" s="44" t="n">
        <f aca="false">COUNTIFS(Data!$C:$C,A13)</f>
        <v>6</v>
      </c>
      <c r="F13" s="45" t="n">
        <f aca="false">IF(E13=0,0,B13/E13)</f>
        <v>2579.78333333333</v>
      </c>
    </row>
    <row r="14" customFormat="false" ht="15" hidden="false" customHeight="false" outlineLevel="0" collapsed="false">
      <c r="A14" s="37" t="s">
        <v>92</v>
      </c>
      <c r="B14" s="48" t="n">
        <f aca="false">SUMIFS(Data!$I:$I,Data!$C:$C,A14)</f>
        <v>14471.5</v>
      </c>
      <c r="C14" s="49" t="n">
        <f aca="false">IF($B$17=0,0,B14/$B$17)</f>
        <v>0.168886155454854</v>
      </c>
      <c r="D14" s="49" t="n">
        <f aca="false">SUM($C$5:C14)</f>
        <v>0.902327516487159</v>
      </c>
      <c r="E14" s="47" t="n">
        <f aca="false">COUNTIFS(Data!$C:$C,A14)</f>
        <v>6</v>
      </c>
      <c r="F14" s="48" t="n">
        <f aca="false">IF(E14=0,0,B14/E14)</f>
        <v>2411.91666666667</v>
      </c>
    </row>
    <row r="15" customFormat="false" ht="15" hidden="false" customHeight="false" outlineLevel="0" collapsed="false">
      <c r="A15" s="36" t="s">
        <v>87</v>
      </c>
      <c r="B15" s="45" t="n">
        <f aca="false">SUMIFS(Data!$I:$I,Data!$C:$C,A15)</f>
        <v>4957</v>
      </c>
      <c r="C15" s="46" t="n">
        <f aca="false">IF($B$17=0,0,B15/$B$17)</f>
        <v>0.0578494746632838</v>
      </c>
      <c r="D15" s="46" t="n">
        <f aca="false">SUM($C$5:C15)</f>
        <v>0.960176991150442</v>
      </c>
      <c r="E15" s="44" t="n">
        <f aca="false">COUNTIFS(Data!$C:$C,A15)</f>
        <v>7</v>
      </c>
      <c r="F15" s="45" t="n">
        <f aca="false">IF(E15=0,0,B15/E15)</f>
        <v>708.142857142857</v>
      </c>
    </row>
    <row r="16" customFormat="false" ht="15" hidden="false" customHeight="false" outlineLevel="0" collapsed="false">
      <c r="A16" s="37" t="s">
        <v>96</v>
      </c>
      <c r="B16" s="48" t="n">
        <f aca="false">SUMIFS(Data!$I:$I,Data!$C:$C,A16)</f>
        <v>3412.35</v>
      </c>
      <c r="C16" s="49" t="n">
        <f aca="false">IF($B$17=0,0,B16/$B$17)</f>
        <v>0.0398230088495575</v>
      </c>
      <c r="D16" s="49" t="n">
        <f aca="false">SUM($C$5:C16)</f>
        <v>1</v>
      </c>
      <c r="E16" s="47" t="n">
        <f aca="false">COUNTIFS(Data!$C:$C,A16)</f>
        <v>7</v>
      </c>
      <c r="F16" s="48" t="n">
        <f aca="false">IF(E16=0,0,B16/E16)</f>
        <v>487.478571428571</v>
      </c>
    </row>
    <row r="17" customFormat="false" ht="15" hidden="false" customHeight="false" outlineLevel="0" collapsed="false">
      <c r="A17" s="53" t="s">
        <v>112</v>
      </c>
      <c r="B17" s="51" t="n">
        <f aca="false">SUM(B5:B16)</f>
        <v>85687.9</v>
      </c>
      <c r="C17" s="52"/>
      <c r="D17" s="52"/>
      <c r="E17" s="50" t="n">
        <f aca="false">SUM(E5:E16)</f>
        <v>60</v>
      </c>
      <c r="F17" s="51"/>
    </row>
    <row r="19" customFormat="false" ht="15" hidden="false" customHeight="false" outlineLevel="0" collapsed="false">
      <c r="A19" s="20" t="s">
        <v>121</v>
      </c>
    </row>
  </sheetData>
  <conditionalFormatting sqref="B5:B16">
    <cfRule type="dataBar" priority="2">
      <dataBar showValue="1" minLength="10" maxLength="90">
        <cfvo type="num" val="0"/>
        <cfvo type="max" val="0"/>
        <color rgb="FFFF6B00"/>
      </dataBar>
      <extLst>
        <ext xmlns:x14="http://schemas.microsoft.com/office/spreadsheetml/2009/9/main" uri="{B025F937-C7B1-47D3-B67F-A62EFF666E3E}">
          <x14:id>{565EB19E-BB30-466F-BE7C-64A5DB977D60}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65EB19E-BB30-466F-BE7C-64A5DB977D60}">
            <x14:dataBar minLength="10" maxLength="90" axisPosition="none" gradient="true">
              <x14:cfvo type="num">
                <xm:f>0</xm:f>
              </x14:cfvo>
              <x14:cfvo type="max"/>
              <x14:negativeFillColor rgb="FFFF6B00"/>
              <x14:axisColor rgb="FF000000"/>
            </x14:dataBar>
          </x14:cfRule>
          <xm:sqref>B5:B16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1"/>
    <col collapsed="false" customWidth="true" hidden="false" outlineLevel="0" max="3" min="3" style="0" width="16"/>
    <col collapsed="false" customWidth="true" hidden="false" outlineLevel="0" max="4" min="4" style="0" width="24"/>
    <col collapsed="false" customWidth="true" hidden="false" outlineLevel="0" max="5" min="5" style="0" width="32"/>
    <col collapsed="false" customWidth="true" hidden="false" outlineLevel="0" max="6" min="6" style="0" width="11"/>
    <col collapsed="false" customWidth="true" hidden="false" outlineLevel="0" max="7" min="7" style="0" width="14"/>
    <col collapsed="false" customWidth="true" hidden="false" outlineLevel="0" max="9" min="8" style="0" width="10"/>
    <col collapsed="false" customWidth="true" hidden="false" outlineLevel="0" max="11" min="10" style="0" width="12"/>
    <col collapsed="false" customWidth="true" hidden="false" outlineLevel="0" max="12" min="12" style="0" width="11"/>
  </cols>
  <sheetData>
    <row r="1" customFormat="false" ht="22.05" hidden="false" customHeight="false" outlineLevel="0" collapsed="false">
      <c r="A1" s="32" t="s">
        <v>122</v>
      </c>
    </row>
    <row r="2" customFormat="false" ht="15" hidden="false" customHeight="false" outlineLevel="0" collapsed="false">
      <c r="A2" s="33" t="s">
        <v>123</v>
      </c>
    </row>
    <row r="4" customFormat="false" ht="30" hidden="false" customHeight="true" outlineLevel="0" collapsed="false">
      <c r="A4" s="34" t="s">
        <v>124</v>
      </c>
      <c r="B4" s="35" t="s">
        <v>68</v>
      </c>
      <c r="C4" s="35" t="s">
        <v>69</v>
      </c>
      <c r="D4" s="35" t="s">
        <v>70</v>
      </c>
      <c r="E4" s="35" t="s">
        <v>125</v>
      </c>
      <c r="F4" s="35" t="s">
        <v>75</v>
      </c>
      <c r="G4" s="35" t="s">
        <v>126</v>
      </c>
      <c r="H4" s="35" t="s">
        <v>127</v>
      </c>
      <c r="I4" s="35" t="s">
        <v>128</v>
      </c>
      <c r="J4" s="35" t="s">
        <v>77</v>
      </c>
      <c r="K4" s="35" t="s">
        <v>129</v>
      </c>
      <c r="L4" s="35" t="s">
        <v>130</v>
      </c>
    </row>
    <row r="5" customFormat="false" ht="15" hidden="false" customHeight="false" outlineLevel="0" collapsed="false">
      <c r="A5" s="44" t="n">
        <v>5</v>
      </c>
      <c r="B5" s="54" t="n">
        <f aca="false">Data!A5</f>
        <v>46270</v>
      </c>
      <c r="C5" s="44" t="str">
        <f aca="false">Data!B5</f>
        <v>Dubai Clinic</v>
      </c>
      <c r="D5" s="44" t="str">
        <f aca="false">Data!C5</f>
        <v>CoolChain Logistics</v>
      </c>
      <c r="E5" s="44" t="str">
        <f aca="false">Data!E5</f>
        <v>Cold-chain delivery (per trip)</v>
      </c>
      <c r="F5" s="55" t="n">
        <f aca="false">Data!H5</f>
        <v>120</v>
      </c>
      <c r="G5" s="55" t="n">
        <f aca="false">IFERROR(AVERAGEIFS(Data!$H:$H,Data!$E:$E,E5),0)</f>
        <v>118.8</v>
      </c>
      <c r="H5" s="46" t="n">
        <f aca="false">IF(G5=0,0,F5/G5-1)</f>
        <v>0.0101010101010102</v>
      </c>
      <c r="I5" s="44" t="str">
        <f aca="false">IF(ABS(H5)&gt;=Dashboard!$C$6,"CHECK","")</f>
        <v/>
      </c>
      <c r="J5" s="54" t="n">
        <f aca="false">IF(Data!J5="","",Data!J5)</f>
        <v>46330</v>
      </c>
      <c r="K5" s="44" t="n">
        <f aca="false">IF(J5="","",J5-Dashboard!$C$4)</f>
        <v>8</v>
      </c>
      <c r="L5" s="44" t="str">
        <f aca="false">IF(K5="","",IF(K5&lt;0,"EXPIRED",IF(K5&lt;=Dashboard!$C$5,"EXPIRING","")))</f>
        <v>EXPIRING</v>
      </c>
    </row>
    <row r="6" customFormat="false" ht="15" hidden="false" customHeight="false" outlineLevel="0" collapsed="false">
      <c r="A6" s="47" t="n">
        <v>6</v>
      </c>
      <c r="B6" s="56" t="n">
        <f aca="false">Data!A6</f>
        <v>46048</v>
      </c>
      <c r="C6" s="47" t="str">
        <f aca="false">Data!B6</f>
        <v>Dubai Clinic</v>
      </c>
      <c r="D6" s="47" t="str">
        <f aca="false">Data!C6</f>
        <v>Gulf Pharma Co</v>
      </c>
      <c r="E6" s="47" t="str">
        <f aca="false">Data!E6</f>
        <v>Surgical mask 3-ply (box 50)</v>
      </c>
      <c r="F6" s="57" t="n">
        <f aca="false">Data!H6</f>
        <v>2.6</v>
      </c>
      <c r="G6" s="57" t="n">
        <f aca="false">IFERROR(AVERAGEIFS(Data!$H:$H,Data!$E:$E,E6),0)</f>
        <v>2.605</v>
      </c>
      <c r="H6" s="49" t="n">
        <f aca="false">IF(G6=0,0,F6/G6-1)</f>
        <v>-0.00191938579654505</v>
      </c>
      <c r="I6" s="47" t="str">
        <f aca="false">IF(ABS(H6)&gt;=Dashboard!$C$6,"CHECK","")</f>
        <v/>
      </c>
      <c r="J6" s="56" t="n">
        <f aca="false">IF(Data!J6="","",Data!J6)</f>
        <v>46228</v>
      </c>
      <c r="K6" s="47" t="n">
        <f aca="false">IF(J6="","",J6-Dashboard!$C$4)</f>
        <v>-94</v>
      </c>
      <c r="L6" s="47" t="str">
        <f aca="false">IF(K6="","",IF(K6&lt;0,"EXPIRED",IF(K6&lt;=Dashboard!$C$5,"EXPIRING","")))</f>
        <v>EXPIRED</v>
      </c>
    </row>
    <row r="7" customFormat="false" ht="15" hidden="false" customHeight="false" outlineLevel="0" collapsed="false">
      <c r="A7" s="44" t="n">
        <v>7</v>
      </c>
      <c r="B7" s="54" t="n">
        <f aca="false">Data!A7</f>
        <v>46124</v>
      </c>
      <c r="C7" s="44" t="str">
        <f aca="false">Data!B7</f>
        <v>Abu Dhabi Main</v>
      </c>
      <c r="D7" s="44" t="str">
        <f aca="false">Data!C7</f>
        <v>CoolChain Logistics</v>
      </c>
      <c r="E7" s="44" t="str">
        <f aca="false">Data!E7</f>
        <v>Cold-chain delivery (per trip)</v>
      </c>
      <c r="F7" s="55" t="n">
        <f aca="false">Data!H7</f>
        <v>120</v>
      </c>
      <c r="G7" s="55" t="n">
        <f aca="false">IFERROR(AVERAGEIFS(Data!$H:$H,Data!$E:$E,E7),0)</f>
        <v>118.8</v>
      </c>
      <c r="H7" s="46" t="n">
        <f aca="false">IF(G7=0,0,F7/G7-1)</f>
        <v>0.0101010101010102</v>
      </c>
      <c r="I7" s="44" t="str">
        <f aca="false">IF(ABS(H7)&gt;=Dashboard!$C$6,"CHECK","")</f>
        <v/>
      </c>
      <c r="J7" s="54" t="str">
        <f aca="false">IF(Data!J7="","",Data!J7)</f>
        <v/>
      </c>
      <c r="K7" s="44" t="str">
        <f aca="false">IF(J7="","",J7-Dashboard!$C$4)</f>
        <v/>
      </c>
      <c r="L7" s="44" t="str">
        <f aca="false">IF(K7="","",IF(K7&lt;0,"EXPIRED",IF(K7&lt;=Dashboard!$C$5,"EXPIRING","")))</f>
        <v/>
      </c>
    </row>
    <row r="8" customFormat="false" ht="15" hidden="false" customHeight="false" outlineLevel="0" collapsed="false">
      <c r="A8" s="47" t="n">
        <v>8</v>
      </c>
      <c r="B8" s="56" t="n">
        <f aca="false">Data!A8</f>
        <v>46146</v>
      </c>
      <c r="C8" s="47" t="str">
        <f aca="false">Data!B8</f>
        <v>Sharjah</v>
      </c>
      <c r="D8" s="47" t="str">
        <f aca="false">Data!C8</f>
        <v>Gulf Pharma Co</v>
      </c>
      <c r="E8" s="47" t="str">
        <f aca="false">Data!E8</f>
        <v>Atorvastatin 20mg tab (box 30)</v>
      </c>
      <c r="F8" s="57" t="n">
        <f aca="false">Data!H8</f>
        <v>6.1</v>
      </c>
      <c r="G8" s="57" t="n">
        <f aca="false">IFERROR(AVERAGEIFS(Data!$H:$H,Data!$E:$E,E8),0)</f>
        <v>6.86</v>
      </c>
      <c r="H8" s="49" t="n">
        <f aca="false">IF(G8=0,0,F8/G8-1)</f>
        <v>-0.110787172011662</v>
      </c>
      <c r="I8" s="47" t="str">
        <f aca="false">IF(ABS(H8)&gt;=Dashboard!$C$6,"CHECK","")</f>
        <v>CHECK</v>
      </c>
      <c r="J8" s="56" t="n">
        <f aca="false">IF(Data!J8="","",Data!J8)</f>
        <v>46326</v>
      </c>
      <c r="K8" s="47" t="n">
        <f aca="false">IF(J8="","",J8-Dashboard!$C$4)</f>
        <v>4</v>
      </c>
      <c r="L8" s="47" t="str">
        <f aca="false">IF(K8="","",IF(K8&lt;0,"EXPIRED",IF(K8&lt;=Dashboard!$C$5,"EXPIRING","")))</f>
        <v>EXPIRING</v>
      </c>
    </row>
    <row r="9" customFormat="false" ht="15" hidden="false" customHeight="false" outlineLevel="0" collapsed="false">
      <c r="A9" s="44" t="n">
        <v>9</v>
      </c>
      <c r="B9" s="54" t="n">
        <f aca="false">Data!A9</f>
        <v>46069</v>
      </c>
      <c r="C9" s="44" t="str">
        <f aca="false">Data!B9</f>
        <v>Al Ain</v>
      </c>
      <c r="D9" s="44" t="str">
        <f aca="false">Data!C9</f>
        <v>Gulf Pharma Co</v>
      </c>
      <c r="E9" s="44" t="str">
        <f aca="false">Data!E9</f>
        <v>Paracetamol 500mg tab (box of 100)</v>
      </c>
      <c r="F9" s="55" t="n">
        <f aca="false">Data!H9</f>
        <v>3.57</v>
      </c>
      <c r="G9" s="55" t="n">
        <f aca="false">IFERROR(AVERAGEIFS(Data!$H:$H,Data!$E:$E,E9),0)</f>
        <v>4.265</v>
      </c>
      <c r="H9" s="46" t="n">
        <f aca="false">IF(G9=0,0,F9/G9-1)</f>
        <v>-0.16295427901524</v>
      </c>
      <c r="I9" s="44" t="str">
        <f aca="false">IF(ABS(H9)&gt;=Dashboard!$C$6,"CHECK","")</f>
        <v>CHECK</v>
      </c>
      <c r="J9" s="54" t="str">
        <f aca="false">IF(Data!J9="","",Data!J9)</f>
        <v/>
      </c>
      <c r="K9" s="44" t="str">
        <f aca="false">IF(J9="","",J9-Dashboard!$C$4)</f>
        <v/>
      </c>
      <c r="L9" s="44" t="str">
        <f aca="false">IF(K9="","",IF(K9&lt;0,"EXPIRED",IF(K9&lt;=Dashboard!$C$5,"EXPIRING","")))</f>
        <v/>
      </c>
    </row>
    <row r="10" customFormat="false" ht="15" hidden="false" customHeight="false" outlineLevel="0" collapsed="false">
      <c r="A10" s="47" t="n">
        <v>10</v>
      </c>
      <c r="B10" s="56" t="n">
        <f aca="false">Data!A10</f>
        <v>46082</v>
      </c>
      <c r="C10" s="47" t="str">
        <f aca="false">Data!B10</f>
        <v>Abu Dhabi Main</v>
      </c>
      <c r="D10" s="47" t="str">
        <f aca="false">Data!C10</f>
        <v>ProtectWear Trading</v>
      </c>
      <c r="E10" s="47" t="str">
        <f aca="false">Data!E10</f>
        <v>Isolation gown (pack 10)</v>
      </c>
      <c r="F10" s="57" t="n">
        <f aca="false">Data!H10</f>
        <v>11</v>
      </c>
      <c r="G10" s="57" t="n">
        <f aca="false">IFERROR(AVERAGEIFS(Data!$H:$H,Data!$E:$E,E10),0)</f>
        <v>11.2357142857143</v>
      </c>
      <c r="H10" s="49" t="n">
        <f aca="false">IF(G10=0,0,F10/G10-1)</f>
        <v>-0.0209790209790209</v>
      </c>
      <c r="I10" s="47" t="str">
        <f aca="false">IF(ABS(H10)&gt;=Dashboard!$C$6,"CHECK","")</f>
        <v/>
      </c>
      <c r="J10" s="56" t="n">
        <f aca="false">IF(Data!J10="","",Data!J10)</f>
        <v>46172</v>
      </c>
      <c r="K10" s="47" t="n">
        <f aca="false">IF(J10="","",J10-Dashboard!$C$4)</f>
        <v>-150</v>
      </c>
      <c r="L10" s="47" t="str">
        <f aca="false">IF(K10="","",IF(K10&lt;0,"EXPIRED",IF(K10&lt;=Dashboard!$C$5,"EXPIRING","")))</f>
        <v>EXPIRED</v>
      </c>
    </row>
    <row r="11" customFormat="false" ht="15" hidden="false" customHeight="false" outlineLevel="0" collapsed="false">
      <c r="A11" s="44" t="n">
        <v>11</v>
      </c>
      <c r="B11" s="54" t="n">
        <f aca="false">Data!A11</f>
        <v>46053</v>
      </c>
      <c r="C11" s="44" t="str">
        <f aca="false">Data!B11</f>
        <v>Abu Dhabi Main</v>
      </c>
      <c r="D11" s="44" t="str">
        <f aca="false">Data!C11</f>
        <v>Imaging Partners</v>
      </c>
      <c r="E11" s="44" t="str">
        <f aca="false">Data!E11</f>
        <v>Infusion pump</v>
      </c>
      <c r="F11" s="55" t="n">
        <f aca="false">Data!H11</f>
        <v>1850</v>
      </c>
      <c r="G11" s="55" t="n">
        <f aca="false">IFERROR(AVERAGEIFS(Data!$H:$H,Data!$E:$E,E11),0)</f>
        <v>1757.5</v>
      </c>
      <c r="H11" s="46" t="n">
        <f aca="false">IF(G11=0,0,F11/G11-1)</f>
        <v>0.0526315789473684</v>
      </c>
      <c r="I11" s="44" t="str">
        <f aca="false">IF(ABS(H11)&gt;=Dashboard!$C$6,"CHECK","")</f>
        <v/>
      </c>
      <c r="J11" s="54" t="n">
        <f aca="false">IF(Data!J11="","",Data!J11)</f>
        <v>46593</v>
      </c>
      <c r="K11" s="44" t="n">
        <f aca="false">IF(J11="","",J11-Dashboard!$C$4)</f>
        <v>271</v>
      </c>
      <c r="L11" s="44" t="str">
        <f aca="false">IF(K11="","",IF(K11&lt;0,"EXPIRED",IF(K11&lt;=Dashboard!$C$5,"EXPIRING","")))</f>
        <v/>
      </c>
    </row>
    <row r="12" customFormat="false" ht="15" hidden="false" customHeight="false" outlineLevel="0" collapsed="false">
      <c r="A12" s="47" t="n">
        <v>12</v>
      </c>
      <c r="B12" s="56" t="n">
        <f aca="false">Data!A12</f>
        <v>46071</v>
      </c>
      <c r="C12" s="47" t="str">
        <f aca="false">Data!B12</f>
        <v>Dubai Clinic</v>
      </c>
      <c r="D12" s="47" t="str">
        <f aca="false">Data!C12</f>
        <v>Imaging Partners</v>
      </c>
      <c r="E12" s="47" t="str">
        <f aca="false">Data!E12</f>
        <v>Patient monitor 5-para</v>
      </c>
      <c r="F12" s="57" t="n">
        <f aca="false">Data!H12</f>
        <v>4368</v>
      </c>
      <c r="G12" s="57" t="n">
        <f aca="false">IFERROR(AVERAGEIFS(Data!$H:$H,Data!$E:$E,E12),0)</f>
        <v>4221</v>
      </c>
      <c r="H12" s="49" t="n">
        <f aca="false">IF(G12=0,0,F12/G12-1)</f>
        <v>0.0348258706467661</v>
      </c>
      <c r="I12" s="47" t="str">
        <f aca="false">IF(ABS(H12)&gt;=Dashboard!$C$6,"CHECK","")</f>
        <v/>
      </c>
      <c r="J12" s="56" t="n">
        <f aca="false">IF(Data!J12="","",Data!J12)</f>
        <v>46101</v>
      </c>
      <c r="K12" s="47" t="n">
        <f aca="false">IF(J12="","",J12-Dashboard!$C$4)</f>
        <v>-221</v>
      </c>
      <c r="L12" s="47" t="str">
        <f aca="false">IF(K12="","",IF(K12&lt;0,"EXPIRED",IF(K12&lt;=Dashboard!$C$5,"EXPIRING","")))</f>
        <v>EXPIRED</v>
      </c>
    </row>
    <row r="13" customFormat="false" ht="15" hidden="false" customHeight="false" outlineLevel="0" collapsed="false">
      <c r="A13" s="44" t="n">
        <v>13</v>
      </c>
      <c r="B13" s="54" t="n">
        <f aca="false">Data!A13</f>
        <v>46057</v>
      </c>
      <c r="C13" s="44" t="str">
        <f aca="false">Data!B13</f>
        <v>Dubai Clinic</v>
      </c>
      <c r="D13" s="44" t="str">
        <f aca="false">Data!C13</f>
        <v>Imaging Partners</v>
      </c>
      <c r="E13" s="44" t="str">
        <f aca="false">Data!E13</f>
        <v>Infusion pump</v>
      </c>
      <c r="F13" s="55" t="n">
        <f aca="false">Data!H13</f>
        <v>1850</v>
      </c>
      <c r="G13" s="55" t="n">
        <f aca="false">IFERROR(AVERAGEIFS(Data!$H:$H,Data!$E:$E,E13),0)</f>
        <v>1757.5</v>
      </c>
      <c r="H13" s="46" t="n">
        <f aca="false">IF(G13=0,0,F13/G13-1)</f>
        <v>0.0526315789473684</v>
      </c>
      <c r="I13" s="44" t="str">
        <f aca="false">IF(ABS(H13)&gt;=Dashboard!$C$6,"CHECK","")</f>
        <v/>
      </c>
      <c r="J13" s="54" t="n">
        <f aca="false">IF(Data!J13="","",Data!J13)</f>
        <v>46237</v>
      </c>
      <c r="K13" s="44" t="n">
        <f aca="false">IF(J13="","",J13-Dashboard!$C$4)</f>
        <v>-85</v>
      </c>
      <c r="L13" s="44" t="str">
        <f aca="false">IF(K13="","",IF(K13&lt;0,"EXPIRED",IF(K13&lt;=Dashboard!$C$5,"EXPIRING","")))</f>
        <v>EXPIRED</v>
      </c>
    </row>
    <row r="14" customFormat="false" ht="15" hidden="false" customHeight="false" outlineLevel="0" collapsed="false">
      <c r="A14" s="47" t="n">
        <v>14</v>
      </c>
      <c r="B14" s="56" t="n">
        <f aca="false">Data!A14</f>
        <v>46223</v>
      </c>
      <c r="C14" s="47" t="str">
        <f aca="false">Data!B14</f>
        <v>Dubai Clinic</v>
      </c>
      <c r="D14" s="47" t="str">
        <f aca="false">Data!C14</f>
        <v>Premier Surgical LLC</v>
      </c>
      <c r="E14" s="47" t="str">
        <f aca="false">Data!E14</f>
        <v>Hip stem, cementless</v>
      </c>
      <c r="F14" s="57" t="n">
        <f aca="false">Data!H14</f>
        <v>1450</v>
      </c>
      <c r="G14" s="57" t="n">
        <f aca="false">IFERROR(AVERAGEIFS(Data!$H:$H,Data!$E:$E,E14),0)</f>
        <v>1469.9375</v>
      </c>
      <c r="H14" s="49" t="n">
        <f aca="false">IF(G14=0,0,F14/G14-1)</f>
        <v>-0.0135635018495684</v>
      </c>
      <c r="I14" s="47" t="str">
        <f aca="false">IF(ABS(H14)&gt;=Dashboard!$C$6,"CHECK","")</f>
        <v/>
      </c>
      <c r="J14" s="56" t="n">
        <f aca="false">IF(Data!J14="","",Data!J14)</f>
        <v>46403</v>
      </c>
      <c r="K14" s="47" t="n">
        <f aca="false">IF(J14="","",J14-Dashboard!$C$4)</f>
        <v>81</v>
      </c>
      <c r="L14" s="47" t="str">
        <f aca="false">IF(K14="","",IF(K14&lt;0,"EXPIRED",IF(K14&lt;=Dashboard!$C$5,"EXPIRING","")))</f>
        <v>EXPIRING</v>
      </c>
    </row>
    <row r="15" customFormat="false" ht="15" hidden="false" customHeight="false" outlineLevel="0" collapsed="false">
      <c r="A15" s="44" t="n">
        <v>15</v>
      </c>
      <c r="B15" s="54" t="n">
        <f aca="false">Data!A15</f>
        <v>46122</v>
      </c>
      <c r="C15" s="44" t="str">
        <f aca="false">Data!B15</f>
        <v>Al Ain</v>
      </c>
      <c r="D15" s="44" t="str">
        <f aca="false">Data!C15</f>
        <v>Diagnostix FZE</v>
      </c>
      <c r="E15" s="44" t="str">
        <f aca="false">Data!E15</f>
        <v>CT contrast 100ml</v>
      </c>
      <c r="F15" s="55" t="n">
        <f aca="false">Data!H15</f>
        <v>31</v>
      </c>
      <c r="G15" s="55" t="n">
        <f aca="false">IFERROR(AVERAGEIFS(Data!$H:$H,Data!$E:$E,E15),0)</f>
        <v>34.72</v>
      </c>
      <c r="H15" s="46" t="n">
        <f aca="false">IF(G15=0,0,F15/G15-1)</f>
        <v>-0.107142857142857</v>
      </c>
      <c r="I15" s="44" t="str">
        <f aca="false">IF(ABS(H15)&gt;=Dashboard!$C$6,"CHECK","")</f>
        <v>CHECK</v>
      </c>
      <c r="J15" s="54" t="n">
        <f aca="false">IF(Data!J15="","",Data!J15)</f>
        <v>46487</v>
      </c>
      <c r="K15" s="44" t="n">
        <f aca="false">IF(J15="","",J15-Dashboard!$C$4)</f>
        <v>165</v>
      </c>
      <c r="L15" s="44" t="str">
        <f aca="false">IF(K15="","",IF(K15&lt;0,"EXPIRED",IF(K15&lt;=Dashboard!$C$5,"EXPIRING","")))</f>
        <v/>
      </c>
    </row>
    <row r="16" customFormat="false" ht="15" hidden="false" customHeight="false" outlineLevel="0" collapsed="false">
      <c r="A16" s="47" t="n">
        <v>16</v>
      </c>
      <c r="B16" s="56" t="n">
        <f aca="false">Data!A16</f>
        <v>46031</v>
      </c>
      <c r="C16" s="47" t="str">
        <f aca="false">Data!B16</f>
        <v>Dubai Clinic</v>
      </c>
      <c r="D16" s="47" t="str">
        <f aca="false">Data!C16</f>
        <v>Safeline Medical</v>
      </c>
      <c r="E16" s="47" t="str">
        <f aca="false">Data!E16</f>
        <v>Nitrile gloves M (box 100)</v>
      </c>
      <c r="F16" s="57" t="n">
        <f aca="false">Data!H16</f>
        <v>6.49</v>
      </c>
      <c r="G16" s="57" t="n">
        <f aca="false">IFERROR(AVERAGEIFS(Data!$H:$H,Data!$E:$E,E16),0)</f>
        <v>6.10333333333333</v>
      </c>
      <c r="H16" s="49" t="n">
        <f aca="false">IF(G16=0,0,F16/G16-1)</f>
        <v>0.0633533588203166</v>
      </c>
      <c r="I16" s="47" t="str">
        <f aca="false">IF(ABS(H16)&gt;=Dashboard!$C$6,"CHECK","")</f>
        <v/>
      </c>
      <c r="J16" s="56" t="str">
        <f aca="false">IF(Data!J16="","",Data!J16)</f>
        <v/>
      </c>
      <c r="K16" s="47" t="str">
        <f aca="false">IF(J16="","",J16-Dashboard!$C$4)</f>
        <v/>
      </c>
      <c r="L16" s="47" t="str">
        <f aca="false">IF(K16="","",IF(K16&lt;0,"EXPIRED",IF(K16&lt;=Dashboard!$C$5,"EXPIRING","")))</f>
        <v/>
      </c>
    </row>
    <row r="17" customFormat="false" ht="15" hidden="false" customHeight="false" outlineLevel="0" collapsed="false">
      <c r="A17" s="44" t="n">
        <v>17</v>
      </c>
      <c r="B17" s="54" t="n">
        <f aca="false">Data!A17</f>
        <v>46133</v>
      </c>
      <c r="C17" s="44" t="str">
        <f aca="false">Data!B17</f>
        <v>Abu Dhabi Main</v>
      </c>
      <c r="D17" s="44" t="str">
        <f aca="false">Data!C17</f>
        <v>ProtectWear Trading</v>
      </c>
      <c r="E17" s="44" t="str">
        <f aca="false">Data!E17</f>
        <v>Hand sanitiser 500ml</v>
      </c>
      <c r="F17" s="55" t="n">
        <f aca="false">Data!H17</f>
        <v>3.4</v>
      </c>
      <c r="G17" s="55" t="n">
        <f aca="false">IFERROR(AVERAGEIFS(Data!$H:$H,Data!$E:$E,E17),0)</f>
        <v>3.4</v>
      </c>
      <c r="H17" s="46" t="n">
        <f aca="false">IF(G17=0,0,F17/G17-1)</f>
        <v>0</v>
      </c>
      <c r="I17" s="44" t="str">
        <f aca="false">IF(ABS(H17)&gt;=Dashboard!$C$6,"CHECK","")</f>
        <v/>
      </c>
      <c r="J17" s="54" t="n">
        <f aca="false">IF(Data!J17="","",Data!J17)</f>
        <v>46193</v>
      </c>
      <c r="K17" s="44" t="n">
        <f aca="false">IF(J17="","",J17-Dashboard!$C$4)</f>
        <v>-129</v>
      </c>
      <c r="L17" s="44" t="str">
        <f aca="false">IF(K17="","",IF(K17&lt;0,"EXPIRED",IF(K17&lt;=Dashboard!$C$5,"EXPIRING","")))</f>
        <v>EXPIRED</v>
      </c>
    </row>
    <row r="18" customFormat="false" ht="15" hidden="false" customHeight="false" outlineLevel="0" collapsed="false">
      <c r="A18" s="47" t="n">
        <v>18</v>
      </c>
      <c r="B18" s="56" t="n">
        <f aca="false">Data!A18</f>
        <v>46274</v>
      </c>
      <c r="C18" s="47" t="str">
        <f aca="false">Data!B18</f>
        <v>Sharjah</v>
      </c>
      <c r="D18" s="47" t="str">
        <f aca="false">Data!C18</f>
        <v>Gulf Pharma Co</v>
      </c>
      <c r="E18" s="47" t="str">
        <f aca="false">Data!E18</f>
        <v>Insulin glargine 100IU/ml pen</v>
      </c>
      <c r="F18" s="57" t="n">
        <f aca="false">Data!H18</f>
        <v>28</v>
      </c>
      <c r="G18" s="57" t="n">
        <f aca="false">IFERROR(AVERAGEIFS(Data!$H:$H,Data!$E:$E,E18),0)</f>
        <v>28</v>
      </c>
      <c r="H18" s="49" t="n">
        <f aca="false">IF(G18=0,0,F18/G18-1)</f>
        <v>0</v>
      </c>
      <c r="I18" s="47" t="str">
        <f aca="false">IF(ABS(H18)&gt;=Dashboard!$C$6,"CHECK","")</f>
        <v/>
      </c>
      <c r="J18" s="56" t="str">
        <f aca="false">IF(Data!J18="","",Data!J18)</f>
        <v/>
      </c>
      <c r="K18" s="47" t="str">
        <f aca="false">IF(J18="","",J18-Dashboard!$C$4)</f>
        <v/>
      </c>
      <c r="L18" s="47" t="str">
        <f aca="false">IF(K18="","",IF(K18&lt;0,"EXPIRED",IF(K18&lt;=Dashboard!$C$5,"EXPIRING","")))</f>
        <v/>
      </c>
    </row>
    <row r="19" customFormat="false" ht="15" hidden="false" customHeight="false" outlineLevel="0" collapsed="false">
      <c r="A19" s="44" t="n">
        <v>19</v>
      </c>
      <c r="B19" s="54" t="n">
        <f aca="false">Data!A19</f>
        <v>46154</v>
      </c>
      <c r="C19" s="44" t="str">
        <f aca="false">Data!B19</f>
        <v>Dubai Clinic</v>
      </c>
      <c r="D19" s="44" t="str">
        <f aca="false">Data!C19</f>
        <v>OrthoTech ME</v>
      </c>
      <c r="E19" s="44" t="str">
        <f aca="false">Data!E19</f>
        <v>Bone screw 4.5mm</v>
      </c>
      <c r="F19" s="55" t="n">
        <f aca="false">Data!H19</f>
        <v>39.52</v>
      </c>
      <c r="G19" s="55" t="n">
        <f aca="false">IFERROR(AVERAGEIFS(Data!$H:$H,Data!$E:$E,E19),0)</f>
        <v>40.4066666666667</v>
      </c>
      <c r="H19" s="46" t="n">
        <f aca="false">IF(G19=0,0,F19/G19-1)</f>
        <v>-0.0219435736677115</v>
      </c>
      <c r="I19" s="44" t="str">
        <f aca="false">IF(ABS(H19)&gt;=Dashboard!$C$6,"CHECK","")</f>
        <v/>
      </c>
      <c r="J19" s="54" t="str">
        <f aca="false">IF(Data!J19="","",Data!J19)</f>
        <v/>
      </c>
      <c r="K19" s="44" t="str">
        <f aca="false">IF(J19="","",J19-Dashboard!$C$4)</f>
        <v/>
      </c>
      <c r="L19" s="44" t="str">
        <f aca="false">IF(K19="","",IF(K19&lt;0,"EXPIRED",IF(K19&lt;=Dashboard!$C$5,"EXPIRING","")))</f>
        <v/>
      </c>
    </row>
    <row r="20" customFormat="false" ht="15" hidden="false" customHeight="false" outlineLevel="0" collapsed="false">
      <c r="A20" s="47" t="n">
        <v>20</v>
      </c>
      <c r="B20" s="56" t="n">
        <f aca="false">Data!A20</f>
        <v>46051</v>
      </c>
      <c r="C20" s="47" t="str">
        <f aca="false">Data!B20</f>
        <v>Sharjah</v>
      </c>
      <c r="D20" s="47" t="str">
        <f aca="false">Data!C20</f>
        <v>Premier Surgical LLC</v>
      </c>
      <c r="E20" s="47" t="str">
        <f aca="false">Data!E20</f>
        <v>Hip stem, cementless</v>
      </c>
      <c r="F20" s="57" t="n">
        <f aca="false">Data!H20</f>
        <v>1450</v>
      </c>
      <c r="G20" s="57" t="n">
        <f aca="false">IFERROR(AVERAGEIFS(Data!$H:$H,Data!$E:$E,E20),0)</f>
        <v>1469.9375</v>
      </c>
      <c r="H20" s="49" t="n">
        <f aca="false">IF(G20=0,0,F20/G20-1)</f>
        <v>-0.0135635018495684</v>
      </c>
      <c r="I20" s="47" t="str">
        <f aca="false">IF(ABS(H20)&gt;=Dashboard!$C$6,"CHECK","")</f>
        <v/>
      </c>
      <c r="J20" s="56" t="n">
        <f aca="false">IF(Data!J20="","",Data!J20)</f>
        <v>46081</v>
      </c>
      <c r="K20" s="47" t="n">
        <f aca="false">IF(J20="","",J20-Dashboard!$C$4)</f>
        <v>-241</v>
      </c>
      <c r="L20" s="47" t="str">
        <f aca="false">IF(K20="","",IF(K20&lt;0,"EXPIRED",IF(K20&lt;=Dashboard!$C$5,"EXPIRING","")))</f>
        <v>EXPIRED</v>
      </c>
    </row>
    <row r="21" customFormat="false" ht="15" hidden="false" customHeight="false" outlineLevel="0" collapsed="false">
      <c r="A21" s="44" t="n">
        <v>21</v>
      </c>
      <c r="B21" s="54" t="n">
        <f aca="false">Data!A21</f>
        <v>46278</v>
      </c>
      <c r="C21" s="44" t="str">
        <f aca="false">Data!B21</f>
        <v>Al Ain</v>
      </c>
      <c r="D21" s="44" t="str">
        <f aca="false">Data!C21</f>
        <v>LabSupply Gulf</v>
      </c>
      <c r="E21" s="44" t="str">
        <f aca="false">Data!E21</f>
        <v>HbA1c reagent kit</v>
      </c>
      <c r="F21" s="55" t="n">
        <f aca="false">Data!H21</f>
        <v>178.5</v>
      </c>
      <c r="G21" s="55" t="n">
        <f aca="false">IFERROR(AVERAGEIFS(Data!$H:$H,Data!$E:$E,E21),0)</f>
        <v>217.14</v>
      </c>
      <c r="H21" s="46" t="n">
        <f aca="false">IF(G21=0,0,F21/G21-1)</f>
        <v>-0.177949709864604</v>
      </c>
      <c r="I21" s="44" t="str">
        <f aca="false">IF(ABS(H21)&gt;=Dashboard!$C$6,"CHECK","")</f>
        <v>CHECK</v>
      </c>
      <c r="J21" s="54" t="n">
        <f aca="false">IF(Data!J21="","",Data!J21)</f>
        <v>46338</v>
      </c>
      <c r="K21" s="44" t="n">
        <f aca="false">IF(J21="","",J21-Dashboard!$C$4)</f>
        <v>16</v>
      </c>
      <c r="L21" s="44" t="str">
        <f aca="false">IF(K21="","",IF(K21&lt;0,"EXPIRED",IF(K21&lt;=Dashboard!$C$5,"EXPIRING","")))</f>
        <v>EXPIRING</v>
      </c>
    </row>
    <row r="22" customFormat="false" ht="15" hidden="false" customHeight="false" outlineLevel="0" collapsed="false">
      <c r="A22" s="47" t="n">
        <v>22</v>
      </c>
      <c r="B22" s="56" t="n">
        <f aca="false">Data!A22</f>
        <v>46064</v>
      </c>
      <c r="C22" s="47" t="str">
        <f aca="false">Data!B22</f>
        <v>Sharjah</v>
      </c>
      <c r="D22" s="47" t="str">
        <f aca="false">Data!C22</f>
        <v>Safeline Medical</v>
      </c>
      <c r="E22" s="47" t="str">
        <f aca="false">Data!E22</f>
        <v>Syringe 5ml luer lock (box 100)</v>
      </c>
      <c r="F22" s="57" t="n">
        <f aca="false">Data!H22</f>
        <v>9.88</v>
      </c>
      <c r="G22" s="57" t="n">
        <f aca="false">IFERROR(AVERAGEIFS(Data!$H:$H,Data!$E:$E,E22),0)</f>
        <v>8.89</v>
      </c>
      <c r="H22" s="49" t="n">
        <f aca="false">IF(G22=0,0,F22/G22-1)</f>
        <v>0.111361079865017</v>
      </c>
      <c r="I22" s="47" t="str">
        <f aca="false">IF(ABS(H22)&gt;=Dashboard!$C$6,"CHECK","")</f>
        <v>CHECK</v>
      </c>
      <c r="J22" s="56" t="n">
        <f aca="false">IF(Data!J22="","",Data!J22)</f>
        <v>46124</v>
      </c>
      <c r="K22" s="47" t="n">
        <f aca="false">IF(J22="","",J22-Dashboard!$C$4)</f>
        <v>-198</v>
      </c>
      <c r="L22" s="47" t="str">
        <f aca="false">IF(K22="","",IF(K22&lt;0,"EXPIRED",IF(K22&lt;=Dashboard!$C$5,"EXPIRING","")))</f>
        <v>EXPIRED</v>
      </c>
    </row>
    <row r="23" customFormat="false" ht="15" hidden="false" customHeight="false" outlineLevel="0" collapsed="false">
      <c r="A23" s="44" t="n">
        <v>23</v>
      </c>
      <c r="B23" s="54" t="n">
        <f aca="false">Data!A23</f>
        <v>46057</v>
      </c>
      <c r="C23" s="44" t="str">
        <f aca="false">Data!B23</f>
        <v>Sharjah</v>
      </c>
      <c r="D23" s="44" t="str">
        <f aca="false">Data!C23</f>
        <v>Gulf Pharma Co</v>
      </c>
      <c r="E23" s="44" t="str">
        <f aca="false">Data!E23</f>
        <v>Paracetamol 500mg tab (box of 100)</v>
      </c>
      <c r="F23" s="55" t="n">
        <f aca="false">Data!H23</f>
        <v>4.96</v>
      </c>
      <c r="G23" s="55" t="n">
        <f aca="false">IFERROR(AVERAGEIFS(Data!$H:$H,Data!$E:$E,E23),0)</f>
        <v>4.265</v>
      </c>
      <c r="H23" s="46" t="n">
        <f aca="false">IF(G23=0,0,F23/G23-1)</f>
        <v>0.162954279015241</v>
      </c>
      <c r="I23" s="44" t="str">
        <f aca="false">IF(ABS(H23)&gt;=Dashboard!$C$6,"CHECK","")</f>
        <v>CHECK</v>
      </c>
      <c r="J23" s="54" t="n">
        <f aca="false">IF(Data!J23="","",Data!J23)</f>
        <v>46147</v>
      </c>
      <c r="K23" s="44" t="n">
        <f aca="false">IF(J23="","",J23-Dashboard!$C$4)</f>
        <v>-175</v>
      </c>
      <c r="L23" s="44" t="str">
        <f aca="false">IF(K23="","",IF(K23&lt;0,"EXPIRED",IF(K23&lt;=Dashboard!$C$5,"EXPIRING","")))</f>
        <v>EXPIRED</v>
      </c>
    </row>
    <row r="24" customFormat="false" ht="15" hidden="false" customHeight="false" outlineLevel="0" collapsed="false">
      <c r="A24" s="47" t="n">
        <v>24</v>
      </c>
      <c r="B24" s="56" t="n">
        <f aca="false">Data!A24</f>
        <v>46196</v>
      </c>
      <c r="C24" s="47" t="str">
        <f aca="false">Data!B24</f>
        <v>Al Ain</v>
      </c>
      <c r="D24" s="47" t="str">
        <f aca="false">Data!C24</f>
        <v>Safeline Medical</v>
      </c>
      <c r="E24" s="47" t="str">
        <f aca="false">Data!E24</f>
        <v>Isolation gown (pack 10)</v>
      </c>
      <c r="F24" s="57" t="n">
        <f aca="false">Data!H24</f>
        <v>11</v>
      </c>
      <c r="G24" s="57" t="n">
        <f aca="false">IFERROR(AVERAGEIFS(Data!$H:$H,Data!$E:$E,E24),0)</f>
        <v>11.2357142857143</v>
      </c>
      <c r="H24" s="49" t="n">
        <f aca="false">IF(G24=0,0,F24/G24-1)</f>
        <v>-0.0209790209790209</v>
      </c>
      <c r="I24" s="47" t="str">
        <f aca="false">IF(ABS(H24)&gt;=Dashboard!$C$6,"CHECK","")</f>
        <v/>
      </c>
      <c r="J24" s="56" t="n">
        <f aca="false">IF(Data!J24="","",Data!J24)</f>
        <v>46736</v>
      </c>
      <c r="K24" s="47" t="n">
        <f aca="false">IF(J24="","",J24-Dashboard!$C$4)</f>
        <v>414</v>
      </c>
      <c r="L24" s="47" t="str">
        <f aca="false">IF(K24="","",IF(K24&lt;0,"EXPIRED",IF(K24&lt;=Dashboard!$C$5,"EXPIRING","")))</f>
        <v/>
      </c>
    </row>
    <row r="25" customFormat="false" ht="15" hidden="false" customHeight="false" outlineLevel="0" collapsed="false">
      <c r="A25" s="44" t="n">
        <v>25</v>
      </c>
      <c r="B25" s="54" t="n">
        <f aca="false">Data!A25</f>
        <v>46044</v>
      </c>
      <c r="C25" s="44" t="str">
        <f aca="false">Data!B25</f>
        <v>Sharjah</v>
      </c>
      <c r="D25" s="44" t="str">
        <f aca="false">Data!C25</f>
        <v>OrthoTech ME</v>
      </c>
      <c r="E25" s="44" t="str">
        <f aca="false">Data!E25</f>
        <v>Hip stem, cementless</v>
      </c>
      <c r="F25" s="55" t="n">
        <f aca="false">Data!H25</f>
        <v>1406.5</v>
      </c>
      <c r="G25" s="55" t="n">
        <f aca="false">IFERROR(AVERAGEIFS(Data!$H:$H,Data!$E:$E,E25),0)</f>
        <v>1469.9375</v>
      </c>
      <c r="H25" s="46" t="n">
        <f aca="false">IF(G25=0,0,F25/G25-1)</f>
        <v>-0.0431565967940814</v>
      </c>
      <c r="I25" s="44" t="str">
        <f aca="false">IF(ABS(H25)&gt;=Dashboard!$C$6,"CHECK","")</f>
        <v/>
      </c>
      <c r="J25" s="54" t="n">
        <f aca="false">IF(Data!J25="","",Data!J25)</f>
        <v>46584</v>
      </c>
      <c r="K25" s="44" t="n">
        <f aca="false">IF(J25="","",J25-Dashboard!$C$4)</f>
        <v>262</v>
      </c>
      <c r="L25" s="44" t="str">
        <f aca="false">IF(K25="","",IF(K25&lt;0,"EXPIRED",IF(K25&lt;=Dashboard!$C$5,"EXPIRING","")))</f>
        <v/>
      </c>
    </row>
    <row r="26" customFormat="false" ht="15" hidden="false" customHeight="false" outlineLevel="0" collapsed="false">
      <c r="A26" s="47" t="n">
        <v>26</v>
      </c>
      <c r="B26" s="56" t="n">
        <f aca="false">Data!A26</f>
        <v>46064</v>
      </c>
      <c r="C26" s="47" t="str">
        <f aca="false">Data!B26</f>
        <v>Al Ain</v>
      </c>
      <c r="D26" s="47" t="str">
        <f aca="false">Data!C26</f>
        <v>Safeline Medical</v>
      </c>
      <c r="E26" s="47" t="str">
        <f aca="false">Data!E26</f>
        <v>Surgical mask 3-ply (box 50)</v>
      </c>
      <c r="F26" s="57" t="n">
        <f aca="false">Data!H26</f>
        <v>2.52</v>
      </c>
      <c r="G26" s="57" t="n">
        <f aca="false">IFERROR(AVERAGEIFS(Data!$H:$H,Data!$E:$E,E26),0)</f>
        <v>2.605</v>
      </c>
      <c r="H26" s="49" t="n">
        <f aca="false">IF(G26=0,0,F26/G26-1)</f>
        <v>-0.0326295585412668</v>
      </c>
      <c r="I26" s="47" t="str">
        <f aca="false">IF(ABS(H26)&gt;=Dashboard!$C$6,"CHECK","")</f>
        <v/>
      </c>
      <c r="J26" s="56" t="n">
        <f aca="false">IF(Data!J26="","",Data!J26)</f>
        <v>46429</v>
      </c>
      <c r="K26" s="47" t="n">
        <f aca="false">IF(J26="","",J26-Dashboard!$C$4)</f>
        <v>107</v>
      </c>
      <c r="L26" s="47" t="str">
        <f aca="false">IF(K26="","",IF(K26&lt;0,"EXPIRED",IF(K26&lt;=Dashboard!$C$5,"EXPIRING","")))</f>
        <v/>
      </c>
    </row>
    <row r="27" customFormat="false" ht="15" hidden="false" customHeight="false" outlineLevel="0" collapsed="false">
      <c r="A27" s="44" t="n">
        <v>27</v>
      </c>
      <c r="B27" s="54" t="n">
        <f aca="false">Data!A27</f>
        <v>46269</v>
      </c>
      <c r="C27" s="44" t="str">
        <f aca="false">Data!B27</f>
        <v>Al Ain</v>
      </c>
      <c r="D27" s="44" t="str">
        <f aca="false">Data!C27</f>
        <v>Safeline Medical</v>
      </c>
      <c r="E27" s="44" t="str">
        <f aca="false">Data!E27</f>
        <v>Isolation gown (pack 10)</v>
      </c>
      <c r="F27" s="55" t="n">
        <f aca="false">Data!H27</f>
        <v>10.67</v>
      </c>
      <c r="G27" s="55" t="n">
        <f aca="false">IFERROR(AVERAGEIFS(Data!$H:$H,Data!$E:$E,E27),0)</f>
        <v>11.2357142857143</v>
      </c>
      <c r="H27" s="46" t="n">
        <f aca="false">IF(G27=0,0,F27/G27-1)</f>
        <v>-0.0503496503496503</v>
      </c>
      <c r="I27" s="44" t="str">
        <f aca="false">IF(ABS(H27)&gt;=Dashboard!$C$6,"CHECK","")</f>
        <v/>
      </c>
      <c r="J27" s="54" t="str">
        <f aca="false">IF(Data!J27="","",Data!J27)</f>
        <v/>
      </c>
      <c r="K27" s="44" t="str">
        <f aca="false">IF(J27="","",J27-Dashboard!$C$4)</f>
        <v/>
      </c>
      <c r="L27" s="44" t="str">
        <f aca="false">IF(K27="","",IF(K27&lt;0,"EXPIRED",IF(K27&lt;=Dashboard!$C$5,"EXPIRING","")))</f>
        <v/>
      </c>
    </row>
    <row r="28" customFormat="false" ht="15" hidden="false" customHeight="false" outlineLevel="0" collapsed="false">
      <c r="A28" s="47" t="n">
        <v>28</v>
      </c>
      <c r="B28" s="56" t="n">
        <f aca="false">Data!A28</f>
        <v>46033</v>
      </c>
      <c r="C28" s="47" t="str">
        <f aca="false">Data!B28</f>
        <v>Abu Dhabi Main</v>
      </c>
      <c r="D28" s="47" t="str">
        <f aca="false">Data!C28</f>
        <v>MedEquip Arabia</v>
      </c>
      <c r="E28" s="47" t="str">
        <f aca="false">Data!E28</f>
        <v>Infusion pump</v>
      </c>
      <c r="F28" s="57" t="n">
        <f aca="false">Data!H28</f>
        <v>1572.5</v>
      </c>
      <c r="G28" s="57" t="n">
        <f aca="false">IFERROR(AVERAGEIFS(Data!$H:$H,Data!$E:$E,E28),0)</f>
        <v>1757.5</v>
      </c>
      <c r="H28" s="49" t="n">
        <f aca="false">IF(G28=0,0,F28/G28-1)</f>
        <v>-0.105263157894737</v>
      </c>
      <c r="I28" s="47" t="str">
        <f aca="false">IF(ABS(H28)&gt;=Dashboard!$C$6,"CHECK","")</f>
        <v>CHECK</v>
      </c>
      <c r="J28" s="56" t="n">
        <f aca="false">IF(Data!J28="","",Data!J28)</f>
        <v>46063</v>
      </c>
      <c r="K28" s="47" t="n">
        <f aca="false">IF(J28="","",J28-Dashboard!$C$4)</f>
        <v>-259</v>
      </c>
      <c r="L28" s="47" t="str">
        <f aca="false">IF(K28="","",IF(K28&lt;0,"EXPIRED",IF(K28&lt;=Dashboard!$C$5,"EXPIRING","")))</f>
        <v>EXPIRED</v>
      </c>
    </row>
    <row r="29" customFormat="false" ht="15" hidden="false" customHeight="false" outlineLevel="0" collapsed="false">
      <c r="A29" s="44" t="n">
        <v>29</v>
      </c>
      <c r="B29" s="54" t="n">
        <f aca="false">Data!A29</f>
        <v>46261</v>
      </c>
      <c r="C29" s="44" t="str">
        <f aca="false">Data!B29</f>
        <v>Sharjah</v>
      </c>
      <c r="D29" s="44" t="str">
        <f aca="false">Data!C29</f>
        <v>Gulf Pharma Co</v>
      </c>
      <c r="E29" s="44" t="str">
        <f aca="false">Data!E29</f>
        <v>Nitrile gloves M (box 100)</v>
      </c>
      <c r="F29" s="55" t="n">
        <f aca="false">Data!H29</f>
        <v>5.33</v>
      </c>
      <c r="G29" s="55" t="n">
        <f aca="false">IFERROR(AVERAGEIFS(Data!$H:$H,Data!$E:$E,E29),0)</f>
        <v>6.10333333333333</v>
      </c>
      <c r="H29" s="46" t="n">
        <f aca="false">IF(G29=0,0,F29/G29-1)</f>
        <v>-0.126706717640634</v>
      </c>
      <c r="I29" s="44" t="str">
        <f aca="false">IF(ABS(H29)&gt;=Dashboard!$C$6,"CHECK","")</f>
        <v>CHECK</v>
      </c>
      <c r="J29" s="54" t="n">
        <f aca="false">IF(Data!J29="","",Data!J29)</f>
        <v>46626</v>
      </c>
      <c r="K29" s="44" t="n">
        <f aca="false">IF(J29="","",J29-Dashboard!$C$4)</f>
        <v>304</v>
      </c>
      <c r="L29" s="44" t="str">
        <f aca="false">IF(K29="","",IF(K29&lt;0,"EXPIRED",IF(K29&lt;=Dashboard!$C$5,"EXPIRING","")))</f>
        <v/>
      </c>
    </row>
    <row r="30" customFormat="false" ht="15" hidden="false" customHeight="false" outlineLevel="0" collapsed="false">
      <c r="A30" s="47" t="n">
        <v>30</v>
      </c>
      <c r="B30" s="56" t="n">
        <f aca="false">Data!A30</f>
        <v>46144</v>
      </c>
      <c r="C30" s="47" t="str">
        <f aca="false">Data!B30</f>
        <v>Abu Dhabi Main</v>
      </c>
      <c r="D30" s="47" t="str">
        <f aca="false">Data!C30</f>
        <v>Gulf Pharma Co</v>
      </c>
      <c r="E30" s="47" t="str">
        <f aca="false">Data!E30</f>
        <v>Nitrile gloves M (box 100)</v>
      </c>
      <c r="F30" s="57" t="n">
        <f aca="false">Data!H30</f>
        <v>6.49</v>
      </c>
      <c r="G30" s="57" t="n">
        <f aca="false">IFERROR(AVERAGEIFS(Data!$H:$H,Data!$E:$E,E30),0)</f>
        <v>6.10333333333333</v>
      </c>
      <c r="H30" s="49" t="n">
        <f aca="false">IF(G30=0,0,F30/G30-1)</f>
        <v>0.0633533588203166</v>
      </c>
      <c r="I30" s="47" t="str">
        <f aca="false">IF(ABS(H30)&gt;=Dashboard!$C$6,"CHECK","")</f>
        <v/>
      </c>
      <c r="J30" s="56" t="str">
        <f aca="false">IF(Data!J30="","",Data!J30)</f>
        <v/>
      </c>
      <c r="K30" s="47" t="str">
        <f aca="false">IF(J30="","",J30-Dashboard!$C$4)</f>
        <v/>
      </c>
      <c r="L30" s="47" t="str">
        <f aca="false">IF(K30="","",IF(K30&lt;0,"EXPIRED",IF(K30&lt;=Dashboard!$C$5,"EXPIRING","")))</f>
        <v/>
      </c>
    </row>
    <row r="31" customFormat="false" ht="15" hidden="false" customHeight="false" outlineLevel="0" collapsed="false">
      <c r="A31" s="44" t="n">
        <v>31</v>
      </c>
      <c r="B31" s="54" t="n">
        <f aca="false">Data!A31</f>
        <v>46215</v>
      </c>
      <c r="C31" s="44" t="str">
        <f aca="false">Data!B31</f>
        <v>Sharjah</v>
      </c>
      <c r="D31" s="44" t="str">
        <f aca="false">Data!C31</f>
        <v>Premier Surgical LLC</v>
      </c>
      <c r="E31" s="44" t="str">
        <f aca="false">Data!E31</f>
        <v>Surgical mask 3-ply (box 50)</v>
      </c>
      <c r="F31" s="55" t="n">
        <f aca="false">Data!H31</f>
        <v>2.7</v>
      </c>
      <c r="G31" s="55" t="n">
        <f aca="false">IFERROR(AVERAGEIFS(Data!$H:$H,Data!$E:$E,E31),0)</f>
        <v>2.605</v>
      </c>
      <c r="H31" s="46" t="n">
        <f aca="false">IF(G31=0,0,F31/G31-1)</f>
        <v>0.0364683301343571</v>
      </c>
      <c r="I31" s="44" t="str">
        <f aca="false">IF(ABS(H31)&gt;=Dashboard!$C$6,"CHECK","")</f>
        <v/>
      </c>
      <c r="J31" s="54" t="n">
        <f aca="false">IF(Data!J31="","",Data!J31)</f>
        <v>46755</v>
      </c>
      <c r="K31" s="44" t="n">
        <f aca="false">IF(J31="","",J31-Dashboard!$C$4)</f>
        <v>433</v>
      </c>
      <c r="L31" s="44" t="str">
        <f aca="false">IF(K31="","",IF(K31&lt;0,"EXPIRED",IF(K31&lt;=Dashboard!$C$5,"EXPIRING","")))</f>
        <v/>
      </c>
    </row>
    <row r="32" customFormat="false" ht="15" hidden="false" customHeight="false" outlineLevel="0" collapsed="false">
      <c r="A32" s="47" t="n">
        <v>32</v>
      </c>
      <c r="B32" s="56" t="n">
        <f aca="false">Data!A32</f>
        <v>46194</v>
      </c>
      <c r="C32" s="47" t="str">
        <f aca="false">Data!B32</f>
        <v>Sharjah</v>
      </c>
      <c r="D32" s="47" t="str">
        <f aca="false">Data!C32</f>
        <v>Diagnostix FZE</v>
      </c>
      <c r="E32" s="47" t="str">
        <f aca="false">Data!E32</f>
        <v>CT contrast 100ml</v>
      </c>
      <c r="F32" s="57" t="n">
        <f aca="false">Data!H32</f>
        <v>36.58</v>
      </c>
      <c r="G32" s="57" t="n">
        <f aca="false">IFERROR(AVERAGEIFS(Data!$H:$H,Data!$E:$E,E32),0)</f>
        <v>34.72</v>
      </c>
      <c r="H32" s="49" t="n">
        <f aca="false">IF(G32=0,0,F32/G32-1)</f>
        <v>0.0535714285714286</v>
      </c>
      <c r="I32" s="47" t="str">
        <f aca="false">IF(ABS(H32)&gt;=Dashboard!$C$6,"CHECK","")</f>
        <v/>
      </c>
      <c r="J32" s="56" t="n">
        <f aca="false">IF(Data!J32="","",Data!J32)</f>
        <v>46284</v>
      </c>
      <c r="K32" s="47" t="n">
        <f aca="false">IF(J32="","",J32-Dashboard!$C$4)</f>
        <v>-38</v>
      </c>
      <c r="L32" s="47" t="str">
        <f aca="false">IF(K32="","",IF(K32&lt;0,"EXPIRED",IF(K32&lt;=Dashboard!$C$5,"EXPIRING","")))</f>
        <v>EXPIRED</v>
      </c>
    </row>
    <row r="33" customFormat="false" ht="15" hidden="false" customHeight="false" outlineLevel="0" collapsed="false">
      <c r="A33" s="44" t="n">
        <v>33</v>
      </c>
      <c r="B33" s="54" t="n">
        <f aca="false">Data!A33</f>
        <v>46189</v>
      </c>
      <c r="C33" s="44" t="str">
        <f aca="false">Data!B33</f>
        <v>Dubai Clinic</v>
      </c>
      <c r="D33" s="44" t="str">
        <f aca="false">Data!C33</f>
        <v>Imaging Partners</v>
      </c>
      <c r="E33" s="44" t="str">
        <f aca="false">Data!E33</f>
        <v>Ultrasound gel 5L</v>
      </c>
      <c r="F33" s="55" t="n">
        <f aca="false">Data!H33</f>
        <v>11.9</v>
      </c>
      <c r="G33" s="55" t="n">
        <f aca="false">IFERROR(AVERAGEIFS(Data!$H:$H,Data!$E:$E,E33),0)</f>
        <v>14</v>
      </c>
      <c r="H33" s="46" t="n">
        <f aca="false">IF(G33=0,0,F33/G33-1)</f>
        <v>-0.15</v>
      </c>
      <c r="I33" s="44" t="str">
        <f aca="false">IF(ABS(H33)&gt;=Dashboard!$C$6,"CHECK","")</f>
        <v>CHECK</v>
      </c>
      <c r="J33" s="54" t="n">
        <f aca="false">IF(Data!J33="","",Data!J33)</f>
        <v>46249</v>
      </c>
      <c r="K33" s="44" t="n">
        <f aca="false">IF(J33="","",J33-Dashboard!$C$4)</f>
        <v>-73</v>
      </c>
      <c r="L33" s="44" t="str">
        <f aca="false">IF(K33="","",IF(K33&lt;0,"EXPIRED",IF(K33&lt;=Dashboard!$C$5,"EXPIRING","")))</f>
        <v>EXPIRED</v>
      </c>
    </row>
    <row r="34" customFormat="false" ht="15" hidden="false" customHeight="false" outlineLevel="0" collapsed="false">
      <c r="A34" s="47" t="n">
        <v>34</v>
      </c>
      <c r="B34" s="56" t="n">
        <f aca="false">Data!A34</f>
        <v>46084</v>
      </c>
      <c r="C34" s="47" t="str">
        <f aca="false">Data!B34</f>
        <v>Abu Dhabi Main</v>
      </c>
      <c r="D34" s="47" t="str">
        <f aca="false">Data!C34</f>
        <v>CoolChain Logistics</v>
      </c>
      <c r="E34" s="47" t="str">
        <f aca="false">Data!E34</f>
        <v>Cold-chain delivery (per trip)</v>
      </c>
      <c r="F34" s="57" t="n">
        <f aca="false">Data!H34</f>
        <v>124.8</v>
      </c>
      <c r="G34" s="57" t="n">
        <f aca="false">IFERROR(AVERAGEIFS(Data!$H:$H,Data!$E:$E,E34),0)</f>
        <v>118.8</v>
      </c>
      <c r="H34" s="49" t="n">
        <f aca="false">IF(G34=0,0,F34/G34-1)</f>
        <v>0.0505050505050506</v>
      </c>
      <c r="I34" s="47" t="str">
        <f aca="false">IF(ABS(H34)&gt;=Dashboard!$C$6,"CHECK","")</f>
        <v/>
      </c>
      <c r="J34" s="56" t="n">
        <f aca="false">IF(Data!J34="","",Data!J34)</f>
        <v>46174</v>
      </c>
      <c r="K34" s="47" t="n">
        <f aca="false">IF(J34="","",J34-Dashboard!$C$4)</f>
        <v>-148</v>
      </c>
      <c r="L34" s="47" t="str">
        <f aca="false">IF(K34="","",IF(K34&lt;0,"EXPIRED",IF(K34&lt;=Dashboard!$C$5,"EXPIRING","")))</f>
        <v>EXPIRED</v>
      </c>
    </row>
    <row r="35" customFormat="false" ht="15" hidden="false" customHeight="false" outlineLevel="0" collapsed="false">
      <c r="A35" s="44" t="n">
        <v>35</v>
      </c>
      <c r="B35" s="54" t="n">
        <f aca="false">Data!A35</f>
        <v>46258</v>
      </c>
      <c r="C35" s="44" t="str">
        <f aca="false">Data!B35</f>
        <v>Sharjah</v>
      </c>
      <c r="D35" s="44" t="str">
        <f aca="false">Data!C35</f>
        <v>Diagnostix FZE</v>
      </c>
      <c r="E35" s="44" t="str">
        <f aca="false">Data!E35</f>
        <v>Ultrasound gel 5L</v>
      </c>
      <c r="F35" s="55" t="n">
        <f aca="false">Data!H35</f>
        <v>13.58</v>
      </c>
      <c r="G35" s="55" t="n">
        <f aca="false">IFERROR(AVERAGEIFS(Data!$H:$H,Data!$E:$E,E35),0)</f>
        <v>14</v>
      </c>
      <c r="H35" s="46" t="n">
        <f aca="false">IF(G35=0,0,F35/G35-1)</f>
        <v>-0.03</v>
      </c>
      <c r="I35" s="44" t="str">
        <f aca="false">IF(ABS(H35)&gt;=Dashboard!$C$6,"CHECK","")</f>
        <v/>
      </c>
      <c r="J35" s="54" t="n">
        <f aca="false">IF(Data!J35="","",Data!J35)</f>
        <v>46288</v>
      </c>
      <c r="K35" s="44" t="n">
        <f aca="false">IF(J35="","",J35-Dashboard!$C$4)</f>
        <v>-34</v>
      </c>
      <c r="L35" s="44" t="str">
        <f aca="false">IF(K35="","",IF(K35&lt;0,"EXPIRED",IF(K35&lt;=Dashboard!$C$5,"EXPIRING","")))</f>
        <v>EXPIRED</v>
      </c>
    </row>
    <row r="36" customFormat="false" ht="15" hidden="false" customHeight="false" outlineLevel="0" collapsed="false">
      <c r="A36" s="47" t="n">
        <v>36</v>
      </c>
      <c r="B36" s="56" t="n">
        <f aca="false">Data!A36</f>
        <v>46036</v>
      </c>
      <c r="C36" s="47" t="str">
        <f aca="false">Data!B36</f>
        <v>Al Ain</v>
      </c>
      <c r="D36" s="47" t="str">
        <f aca="false">Data!C36</f>
        <v>LabSupply Gulf</v>
      </c>
      <c r="E36" s="47" t="str">
        <f aca="false">Data!E36</f>
        <v>HbA1c reagent kit</v>
      </c>
      <c r="F36" s="57" t="n">
        <f aca="false">Data!H36</f>
        <v>218.4</v>
      </c>
      <c r="G36" s="57" t="n">
        <f aca="false">IFERROR(AVERAGEIFS(Data!$H:$H,Data!$E:$E,E36),0)</f>
        <v>217.14</v>
      </c>
      <c r="H36" s="49" t="n">
        <f aca="false">IF(G36=0,0,F36/G36-1)</f>
        <v>0.00580270793036752</v>
      </c>
      <c r="I36" s="47" t="str">
        <f aca="false">IF(ABS(H36)&gt;=Dashboard!$C$6,"CHECK","")</f>
        <v/>
      </c>
      <c r="J36" s="56" t="n">
        <f aca="false">IF(Data!J36="","",Data!J36)</f>
        <v>46216</v>
      </c>
      <c r="K36" s="47" t="n">
        <f aca="false">IF(J36="","",J36-Dashboard!$C$4)</f>
        <v>-106</v>
      </c>
      <c r="L36" s="47" t="str">
        <f aca="false">IF(K36="","",IF(K36&lt;0,"EXPIRED",IF(K36&lt;=Dashboard!$C$5,"EXPIRING","")))</f>
        <v>EXPIRED</v>
      </c>
    </row>
    <row r="37" customFormat="false" ht="15" hidden="false" customHeight="false" outlineLevel="0" collapsed="false">
      <c r="A37" s="44" t="n">
        <v>37</v>
      </c>
      <c r="B37" s="54" t="n">
        <f aca="false">Data!A37</f>
        <v>46051</v>
      </c>
      <c r="C37" s="44" t="str">
        <f aca="false">Data!B37</f>
        <v>Al Ain</v>
      </c>
      <c r="D37" s="44" t="str">
        <f aca="false">Data!C37</f>
        <v>CoolChain Logistics</v>
      </c>
      <c r="E37" s="44" t="str">
        <f aca="false">Data!E37</f>
        <v>Cold-chain delivery (per trip)</v>
      </c>
      <c r="F37" s="55" t="n">
        <f aca="false">Data!H37</f>
        <v>120</v>
      </c>
      <c r="G37" s="55" t="n">
        <f aca="false">IFERROR(AVERAGEIFS(Data!$H:$H,Data!$E:$E,E37),0)</f>
        <v>118.8</v>
      </c>
      <c r="H37" s="46" t="n">
        <f aca="false">IF(G37=0,0,F37/G37-1)</f>
        <v>0.0101010101010102</v>
      </c>
      <c r="I37" s="44" t="str">
        <f aca="false">IF(ABS(H37)&gt;=Dashboard!$C$6,"CHECK","")</f>
        <v/>
      </c>
      <c r="J37" s="54" t="str">
        <f aca="false">IF(Data!J37="","",Data!J37)</f>
        <v/>
      </c>
      <c r="K37" s="44" t="str">
        <f aca="false">IF(J37="","",J37-Dashboard!$C$4)</f>
        <v/>
      </c>
      <c r="L37" s="44" t="str">
        <f aca="false">IF(K37="","",IF(K37&lt;0,"EXPIRED",IF(K37&lt;=Dashboard!$C$5,"EXPIRING","")))</f>
        <v/>
      </c>
    </row>
    <row r="38" customFormat="false" ht="15" hidden="false" customHeight="false" outlineLevel="0" collapsed="false">
      <c r="A38" s="47" t="n">
        <v>38</v>
      </c>
      <c r="B38" s="56" t="n">
        <f aca="false">Data!A38</f>
        <v>46128</v>
      </c>
      <c r="C38" s="47" t="str">
        <f aca="false">Data!B38</f>
        <v>Al Ain</v>
      </c>
      <c r="D38" s="47" t="str">
        <f aca="false">Data!C38</f>
        <v>Safeline Medical</v>
      </c>
      <c r="E38" s="47" t="str">
        <f aca="false">Data!E38</f>
        <v>Surgical mask 3-ply (box 50)</v>
      </c>
      <c r="F38" s="57" t="n">
        <f aca="false">Data!H38</f>
        <v>2.6</v>
      </c>
      <c r="G38" s="57" t="n">
        <f aca="false">IFERROR(AVERAGEIFS(Data!$H:$H,Data!$E:$E,E38),0)</f>
        <v>2.605</v>
      </c>
      <c r="H38" s="49" t="n">
        <f aca="false">IF(G38=0,0,F38/G38-1)</f>
        <v>-0.00191938579654505</v>
      </c>
      <c r="I38" s="47" t="str">
        <f aca="false">IF(ABS(H38)&gt;=Dashboard!$C$6,"CHECK","")</f>
        <v/>
      </c>
      <c r="J38" s="56" t="n">
        <f aca="false">IF(Data!J38="","",Data!J38)</f>
        <v>46308</v>
      </c>
      <c r="K38" s="47" t="n">
        <f aca="false">IF(J38="","",J38-Dashboard!$C$4)</f>
        <v>-14</v>
      </c>
      <c r="L38" s="47" t="str">
        <f aca="false">IF(K38="","",IF(K38&lt;0,"EXPIRED",IF(K38&lt;=Dashboard!$C$5,"EXPIRING","")))</f>
        <v>EXPIRED</v>
      </c>
    </row>
    <row r="39" customFormat="false" ht="15" hidden="false" customHeight="false" outlineLevel="0" collapsed="false">
      <c r="A39" s="44" t="n">
        <v>39</v>
      </c>
      <c r="B39" s="54" t="n">
        <f aca="false">Data!A39</f>
        <v>46045</v>
      </c>
      <c r="C39" s="44" t="str">
        <f aca="false">Data!B39</f>
        <v>Sharjah</v>
      </c>
      <c r="D39" s="44" t="str">
        <f aca="false">Data!C39</f>
        <v>Diagnostix FZE</v>
      </c>
      <c r="E39" s="44" t="str">
        <f aca="false">Data!E39</f>
        <v>HbA1c reagent kit</v>
      </c>
      <c r="F39" s="55" t="n">
        <f aca="false">Data!H39</f>
        <v>262.5</v>
      </c>
      <c r="G39" s="55" t="n">
        <f aca="false">IFERROR(AVERAGEIFS(Data!$H:$H,Data!$E:$E,E39),0)</f>
        <v>217.14</v>
      </c>
      <c r="H39" s="46" t="n">
        <f aca="false">IF(G39=0,0,F39/G39-1)</f>
        <v>0.20889748549323</v>
      </c>
      <c r="I39" s="44" t="str">
        <f aca="false">IF(ABS(H39)&gt;=Dashboard!$C$6,"CHECK","")</f>
        <v>CHECK</v>
      </c>
      <c r="J39" s="54" t="n">
        <f aca="false">IF(Data!J39="","",Data!J39)</f>
        <v>46135</v>
      </c>
      <c r="K39" s="44" t="n">
        <f aca="false">IF(J39="","",J39-Dashboard!$C$4)</f>
        <v>-187</v>
      </c>
      <c r="L39" s="44" t="str">
        <f aca="false">IF(K39="","",IF(K39&lt;0,"EXPIRED",IF(K39&lt;=Dashboard!$C$5,"EXPIRING","")))</f>
        <v>EXPIRED</v>
      </c>
    </row>
    <row r="40" customFormat="false" ht="15" hidden="false" customHeight="false" outlineLevel="0" collapsed="false">
      <c r="A40" s="47" t="n">
        <v>40</v>
      </c>
      <c r="B40" s="56" t="n">
        <f aca="false">Data!A40</f>
        <v>46225</v>
      </c>
      <c r="C40" s="47" t="str">
        <f aca="false">Data!B40</f>
        <v>Dubai Clinic</v>
      </c>
      <c r="D40" s="47" t="str">
        <f aca="false">Data!C40</f>
        <v>ProtectWear Trading</v>
      </c>
      <c r="E40" s="47" t="str">
        <f aca="false">Data!E40</f>
        <v>Isolation gown (pack 10)</v>
      </c>
      <c r="F40" s="57" t="n">
        <f aca="false">Data!H40</f>
        <v>11</v>
      </c>
      <c r="G40" s="57" t="n">
        <f aca="false">IFERROR(AVERAGEIFS(Data!$H:$H,Data!$E:$E,E40),0)</f>
        <v>11.2357142857143</v>
      </c>
      <c r="H40" s="49" t="n">
        <f aca="false">IF(G40=0,0,F40/G40-1)</f>
        <v>-0.0209790209790209</v>
      </c>
      <c r="I40" s="47" t="str">
        <f aca="false">IF(ABS(H40)&gt;=Dashboard!$C$6,"CHECK","")</f>
        <v/>
      </c>
      <c r="J40" s="56" t="n">
        <f aca="false">IF(Data!J40="","",Data!J40)</f>
        <v>46405</v>
      </c>
      <c r="K40" s="47" t="n">
        <f aca="false">IF(J40="","",J40-Dashboard!$C$4)</f>
        <v>83</v>
      </c>
      <c r="L40" s="47" t="str">
        <f aca="false">IF(K40="","",IF(K40&lt;0,"EXPIRED",IF(K40&lt;=Dashboard!$C$5,"EXPIRING","")))</f>
        <v>EXPIRING</v>
      </c>
    </row>
    <row r="41" customFormat="false" ht="15" hidden="false" customHeight="false" outlineLevel="0" collapsed="false">
      <c r="A41" s="44" t="n">
        <v>41</v>
      </c>
      <c r="B41" s="54" t="n">
        <f aca="false">Data!A41</f>
        <v>46131</v>
      </c>
      <c r="C41" s="44" t="str">
        <f aca="false">Data!B41</f>
        <v>Al Ain</v>
      </c>
      <c r="D41" s="44" t="str">
        <f aca="false">Data!C41</f>
        <v>Diagnostix FZE</v>
      </c>
      <c r="E41" s="44" t="str">
        <f aca="false">Data!E41</f>
        <v>CT contrast 100ml</v>
      </c>
      <c r="F41" s="55" t="n">
        <f aca="false">Data!H41</f>
        <v>36.58</v>
      </c>
      <c r="G41" s="55" t="n">
        <f aca="false">IFERROR(AVERAGEIFS(Data!$H:$H,Data!$E:$E,E41),0)</f>
        <v>34.72</v>
      </c>
      <c r="H41" s="46" t="n">
        <f aca="false">IF(G41=0,0,F41/G41-1)</f>
        <v>0.0535714285714286</v>
      </c>
      <c r="I41" s="44" t="str">
        <f aca="false">IF(ABS(H41)&gt;=Dashboard!$C$6,"CHECK","")</f>
        <v/>
      </c>
      <c r="J41" s="54" t="n">
        <f aca="false">IF(Data!J41="","",Data!J41)</f>
        <v>46671</v>
      </c>
      <c r="K41" s="44" t="n">
        <f aca="false">IF(J41="","",J41-Dashboard!$C$4)</f>
        <v>349</v>
      </c>
      <c r="L41" s="44" t="str">
        <f aca="false">IF(K41="","",IF(K41&lt;0,"EXPIRED",IF(K41&lt;=Dashboard!$C$5,"EXPIRING","")))</f>
        <v/>
      </c>
    </row>
    <row r="42" customFormat="false" ht="15" hidden="false" customHeight="false" outlineLevel="0" collapsed="false">
      <c r="A42" s="47" t="n">
        <v>42</v>
      </c>
      <c r="B42" s="56" t="n">
        <f aca="false">Data!A42</f>
        <v>46191</v>
      </c>
      <c r="C42" s="47" t="str">
        <f aca="false">Data!B42</f>
        <v>Sharjah</v>
      </c>
      <c r="D42" s="47" t="str">
        <f aca="false">Data!C42</f>
        <v>Safeline Medical</v>
      </c>
      <c r="E42" s="47" t="str">
        <f aca="false">Data!E42</f>
        <v>Syringe 5ml luer lock (box 100)</v>
      </c>
      <c r="F42" s="57" t="n">
        <f aca="false">Data!H42</f>
        <v>7.9</v>
      </c>
      <c r="G42" s="57" t="n">
        <f aca="false">IFERROR(AVERAGEIFS(Data!$H:$H,Data!$E:$E,E42),0)</f>
        <v>8.89</v>
      </c>
      <c r="H42" s="49" t="n">
        <f aca="false">IF(G42=0,0,F42/G42-1)</f>
        <v>-0.111361079865017</v>
      </c>
      <c r="I42" s="47" t="str">
        <f aca="false">IF(ABS(H42)&gt;=Dashboard!$C$6,"CHECK","")</f>
        <v>CHECK</v>
      </c>
      <c r="J42" s="56" t="n">
        <f aca="false">IF(Data!J42="","",Data!J42)</f>
        <v>46731</v>
      </c>
      <c r="K42" s="47" t="n">
        <f aca="false">IF(J42="","",J42-Dashboard!$C$4)</f>
        <v>409</v>
      </c>
      <c r="L42" s="47" t="str">
        <f aca="false">IF(K42="","",IF(K42&lt;0,"EXPIRED",IF(K42&lt;=Dashboard!$C$5,"EXPIRING","")))</f>
        <v/>
      </c>
    </row>
    <row r="43" customFormat="false" ht="15" hidden="false" customHeight="false" outlineLevel="0" collapsed="false">
      <c r="A43" s="44" t="n">
        <v>43</v>
      </c>
      <c r="B43" s="54" t="n">
        <f aca="false">Data!A43</f>
        <v>46202</v>
      </c>
      <c r="C43" s="44" t="str">
        <f aca="false">Data!B43</f>
        <v>Abu Dhabi Main</v>
      </c>
      <c r="D43" s="44" t="str">
        <f aca="false">Data!C43</f>
        <v>Arabian Medicare</v>
      </c>
      <c r="E43" s="44" t="str">
        <f aca="false">Data!E43</f>
        <v>Insulin glargine 100IU/ml pen</v>
      </c>
      <c r="F43" s="55" t="n">
        <f aca="false">Data!H43</f>
        <v>28</v>
      </c>
      <c r="G43" s="55" t="n">
        <f aca="false">IFERROR(AVERAGEIFS(Data!$H:$H,Data!$E:$E,E43),0)</f>
        <v>28</v>
      </c>
      <c r="H43" s="46" t="n">
        <f aca="false">IF(G43=0,0,F43/G43-1)</f>
        <v>0</v>
      </c>
      <c r="I43" s="44" t="str">
        <f aca="false">IF(ABS(H43)&gt;=Dashboard!$C$6,"CHECK","")</f>
        <v/>
      </c>
      <c r="J43" s="54" t="n">
        <f aca="false">IF(Data!J43="","",Data!J43)</f>
        <v>46292</v>
      </c>
      <c r="K43" s="44" t="n">
        <f aca="false">IF(J43="","",J43-Dashboard!$C$4)</f>
        <v>-30</v>
      </c>
      <c r="L43" s="44" t="str">
        <f aca="false">IF(K43="","",IF(K43&lt;0,"EXPIRED",IF(K43&lt;=Dashboard!$C$5,"EXPIRING","")))</f>
        <v>EXPIRED</v>
      </c>
    </row>
    <row r="44" customFormat="false" ht="15" hidden="false" customHeight="false" outlineLevel="0" collapsed="false">
      <c r="A44" s="47" t="n">
        <v>44</v>
      </c>
      <c r="B44" s="56" t="n">
        <f aca="false">Data!A44</f>
        <v>46115</v>
      </c>
      <c r="C44" s="47" t="str">
        <f aca="false">Data!B44</f>
        <v>Abu Dhabi Main</v>
      </c>
      <c r="D44" s="47" t="str">
        <f aca="false">Data!C44</f>
        <v>CoolChain Logistics</v>
      </c>
      <c r="E44" s="47" t="str">
        <f aca="false">Data!E44</f>
        <v>Cold-chain delivery (per trip)</v>
      </c>
      <c r="F44" s="57" t="n">
        <f aca="false">Data!H44</f>
        <v>102</v>
      </c>
      <c r="G44" s="57" t="n">
        <f aca="false">IFERROR(AVERAGEIFS(Data!$H:$H,Data!$E:$E,E44),0)</f>
        <v>118.8</v>
      </c>
      <c r="H44" s="49" t="n">
        <f aca="false">IF(G44=0,0,F44/G44-1)</f>
        <v>-0.141414141414141</v>
      </c>
      <c r="I44" s="47" t="str">
        <f aca="false">IF(ABS(H44)&gt;=Dashboard!$C$6,"CHECK","")</f>
        <v>CHECK</v>
      </c>
      <c r="J44" s="56" t="n">
        <f aca="false">IF(Data!J44="","",Data!J44)</f>
        <v>46655</v>
      </c>
      <c r="K44" s="47" t="n">
        <f aca="false">IF(J44="","",J44-Dashboard!$C$4)</f>
        <v>333</v>
      </c>
      <c r="L44" s="47" t="str">
        <f aca="false">IF(K44="","",IF(K44&lt;0,"EXPIRED",IF(K44&lt;=Dashboard!$C$5,"EXPIRING","")))</f>
        <v/>
      </c>
    </row>
    <row r="45" customFormat="false" ht="15" hidden="false" customHeight="false" outlineLevel="0" collapsed="false">
      <c r="A45" s="44" t="n">
        <v>45</v>
      </c>
      <c r="B45" s="54" t="n">
        <f aca="false">Data!A45</f>
        <v>46071</v>
      </c>
      <c r="C45" s="44" t="str">
        <f aca="false">Data!B45</f>
        <v>Sharjah</v>
      </c>
      <c r="D45" s="44" t="str">
        <f aca="false">Data!C45</f>
        <v>OrthoTech ME</v>
      </c>
      <c r="E45" s="44" t="str">
        <f aca="false">Data!E45</f>
        <v>Bone screw 4.5mm</v>
      </c>
      <c r="F45" s="55" t="n">
        <f aca="false">Data!H45</f>
        <v>44.84</v>
      </c>
      <c r="G45" s="55" t="n">
        <f aca="false">IFERROR(AVERAGEIFS(Data!$H:$H,Data!$E:$E,E45),0)</f>
        <v>40.4066666666667</v>
      </c>
      <c r="H45" s="46" t="n">
        <f aca="false">IF(G45=0,0,F45/G45-1)</f>
        <v>0.109717868338558</v>
      </c>
      <c r="I45" s="44" t="str">
        <f aca="false">IF(ABS(H45)&gt;=Dashboard!$C$6,"CHECK","")</f>
        <v>CHECK</v>
      </c>
      <c r="J45" s="54" t="str">
        <f aca="false">IF(Data!J45="","",Data!J45)</f>
        <v/>
      </c>
      <c r="K45" s="44" t="str">
        <f aca="false">IF(J45="","",J45-Dashboard!$C$4)</f>
        <v/>
      </c>
      <c r="L45" s="44" t="str">
        <f aca="false">IF(K45="","",IF(K45&lt;0,"EXPIRED",IF(K45&lt;=Dashboard!$C$5,"EXPIRING","")))</f>
        <v/>
      </c>
    </row>
    <row r="46" customFormat="false" ht="15" hidden="false" customHeight="false" outlineLevel="0" collapsed="false">
      <c r="A46" s="47" t="n">
        <v>46</v>
      </c>
      <c r="B46" s="56" t="n">
        <f aca="false">Data!A46</f>
        <v>46222</v>
      </c>
      <c r="C46" s="47" t="str">
        <f aca="false">Data!B46</f>
        <v>Al Ain</v>
      </c>
      <c r="D46" s="47" t="str">
        <f aca="false">Data!C46</f>
        <v>CoolChain Logistics</v>
      </c>
      <c r="E46" s="47" t="str">
        <f aca="false">Data!E46</f>
        <v>Cold-chain delivery (per trip)</v>
      </c>
      <c r="F46" s="57" t="n">
        <f aca="false">Data!H46</f>
        <v>124.8</v>
      </c>
      <c r="G46" s="57" t="n">
        <f aca="false">IFERROR(AVERAGEIFS(Data!$H:$H,Data!$E:$E,E46),0)</f>
        <v>118.8</v>
      </c>
      <c r="H46" s="49" t="n">
        <f aca="false">IF(G46=0,0,F46/G46-1)</f>
        <v>0.0505050505050506</v>
      </c>
      <c r="I46" s="47" t="str">
        <f aca="false">IF(ABS(H46)&gt;=Dashboard!$C$6,"CHECK","")</f>
        <v/>
      </c>
      <c r="J46" s="56" t="str">
        <f aca="false">IF(Data!J46="","",Data!J46)</f>
        <v/>
      </c>
      <c r="K46" s="47" t="str">
        <f aca="false">IF(J46="","",J46-Dashboard!$C$4)</f>
        <v/>
      </c>
      <c r="L46" s="47" t="str">
        <f aca="false">IF(K46="","",IF(K46&lt;0,"EXPIRED",IF(K46&lt;=Dashboard!$C$5,"EXPIRING","")))</f>
        <v/>
      </c>
    </row>
    <row r="47" customFormat="false" ht="15" hidden="false" customHeight="false" outlineLevel="0" collapsed="false">
      <c r="A47" s="44" t="n">
        <v>47</v>
      </c>
      <c r="B47" s="54" t="n">
        <f aca="false">Data!A47</f>
        <v>46237</v>
      </c>
      <c r="C47" s="44" t="str">
        <f aca="false">Data!B47</f>
        <v>Al Ain</v>
      </c>
      <c r="D47" s="44" t="str">
        <f aca="false">Data!C47</f>
        <v>Imaging Partners</v>
      </c>
      <c r="E47" s="44" t="str">
        <f aca="false">Data!E47</f>
        <v>Ultrasound gel 5L</v>
      </c>
      <c r="F47" s="55" t="n">
        <f aca="false">Data!H47</f>
        <v>16.52</v>
      </c>
      <c r="G47" s="55" t="n">
        <f aca="false">IFERROR(AVERAGEIFS(Data!$H:$H,Data!$E:$E,E47),0)</f>
        <v>14</v>
      </c>
      <c r="H47" s="46" t="n">
        <f aca="false">IF(G47=0,0,F47/G47-1)</f>
        <v>0.18</v>
      </c>
      <c r="I47" s="44" t="str">
        <f aca="false">IF(ABS(H47)&gt;=Dashboard!$C$6,"CHECK","")</f>
        <v>CHECK</v>
      </c>
      <c r="J47" s="54" t="n">
        <f aca="false">IF(Data!J47="","",Data!J47)</f>
        <v>46602</v>
      </c>
      <c r="K47" s="44" t="n">
        <f aca="false">IF(J47="","",J47-Dashboard!$C$4)</f>
        <v>280</v>
      </c>
      <c r="L47" s="44" t="str">
        <f aca="false">IF(K47="","",IF(K47&lt;0,"EXPIRED",IF(K47&lt;=Dashboard!$C$5,"EXPIRING","")))</f>
        <v/>
      </c>
    </row>
    <row r="48" customFormat="false" ht="15" hidden="false" customHeight="false" outlineLevel="0" collapsed="false">
      <c r="A48" s="47" t="n">
        <v>48</v>
      </c>
      <c r="B48" s="56" t="n">
        <f aca="false">Data!A48</f>
        <v>46089</v>
      </c>
      <c r="C48" s="47" t="str">
        <f aca="false">Data!B48</f>
        <v>Abu Dhabi Main</v>
      </c>
      <c r="D48" s="47" t="str">
        <f aca="false">Data!C48</f>
        <v>MedPharma Distribution</v>
      </c>
      <c r="E48" s="47" t="str">
        <f aca="false">Data!E48</f>
        <v>Atorvastatin 20mg tab (box 30)</v>
      </c>
      <c r="F48" s="57" t="n">
        <f aca="false">Data!H48</f>
        <v>7.62</v>
      </c>
      <c r="G48" s="57" t="n">
        <f aca="false">IFERROR(AVERAGEIFS(Data!$H:$H,Data!$E:$E,E48),0)</f>
        <v>6.86</v>
      </c>
      <c r="H48" s="49" t="n">
        <f aca="false">IF(G48=0,0,F48/G48-1)</f>
        <v>0.110787172011662</v>
      </c>
      <c r="I48" s="47" t="str">
        <f aca="false">IF(ABS(H48)&gt;=Dashboard!$C$6,"CHECK","")</f>
        <v>CHECK</v>
      </c>
      <c r="J48" s="56" t="n">
        <f aca="false">IF(Data!J48="","",Data!J48)</f>
        <v>46629</v>
      </c>
      <c r="K48" s="47" t="n">
        <f aca="false">IF(J48="","",J48-Dashboard!$C$4)</f>
        <v>307</v>
      </c>
      <c r="L48" s="47" t="str">
        <f aca="false">IF(K48="","",IF(K48&lt;0,"EXPIRED",IF(K48&lt;=Dashboard!$C$5,"EXPIRING","")))</f>
        <v/>
      </c>
    </row>
    <row r="49" customFormat="false" ht="15" hidden="false" customHeight="false" outlineLevel="0" collapsed="false">
      <c r="A49" s="44" t="n">
        <v>49</v>
      </c>
      <c r="B49" s="54" t="n">
        <f aca="false">Data!A49</f>
        <v>46153</v>
      </c>
      <c r="C49" s="44" t="str">
        <f aca="false">Data!B49</f>
        <v>Sharjah</v>
      </c>
      <c r="D49" s="44" t="str">
        <f aca="false">Data!C49</f>
        <v>Premier Surgical LLC</v>
      </c>
      <c r="E49" s="44" t="str">
        <f aca="false">Data!E49</f>
        <v>Hip stem, cementless</v>
      </c>
      <c r="F49" s="55" t="n">
        <f aca="false">Data!H49</f>
        <v>1232.5</v>
      </c>
      <c r="G49" s="55" t="n">
        <f aca="false">IFERROR(AVERAGEIFS(Data!$H:$H,Data!$E:$E,E49),0)</f>
        <v>1469.9375</v>
      </c>
      <c r="H49" s="46" t="n">
        <f aca="false">IF(G49=0,0,F49/G49-1)</f>
        <v>-0.161528976572133</v>
      </c>
      <c r="I49" s="44" t="str">
        <f aca="false">IF(ABS(H49)&gt;=Dashboard!$C$6,"CHECK","")</f>
        <v>CHECK</v>
      </c>
      <c r="J49" s="54" t="n">
        <f aca="false">IF(Data!J49="","",Data!J49)</f>
        <v>46213</v>
      </c>
      <c r="K49" s="44" t="n">
        <f aca="false">IF(J49="","",J49-Dashboard!$C$4)</f>
        <v>-109</v>
      </c>
      <c r="L49" s="44" t="str">
        <f aca="false">IF(K49="","",IF(K49&lt;0,"EXPIRED",IF(K49&lt;=Dashboard!$C$5,"EXPIRING","")))</f>
        <v>EXPIRED</v>
      </c>
    </row>
    <row r="50" customFormat="false" ht="15" hidden="false" customHeight="false" outlineLevel="0" collapsed="false">
      <c r="A50" s="47" t="n">
        <v>50</v>
      </c>
      <c r="B50" s="56" t="n">
        <f aca="false">Data!A50</f>
        <v>46241</v>
      </c>
      <c r="C50" s="47" t="str">
        <f aca="false">Data!B50</f>
        <v>Al Ain</v>
      </c>
      <c r="D50" s="47" t="str">
        <f aca="false">Data!C50</f>
        <v>ProtectWear Trading</v>
      </c>
      <c r="E50" s="47" t="str">
        <f aca="false">Data!E50</f>
        <v>Hand sanitiser 500ml</v>
      </c>
      <c r="F50" s="57" t="n">
        <f aca="false">Data!H50</f>
        <v>3.4</v>
      </c>
      <c r="G50" s="57" t="n">
        <f aca="false">IFERROR(AVERAGEIFS(Data!$H:$H,Data!$E:$E,E50),0)</f>
        <v>3.4</v>
      </c>
      <c r="H50" s="49" t="n">
        <f aca="false">IF(G50=0,0,F50/G50-1)</f>
        <v>0</v>
      </c>
      <c r="I50" s="47" t="str">
        <f aca="false">IF(ABS(H50)&gt;=Dashboard!$C$6,"CHECK","")</f>
        <v/>
      </c>
      <c r="J50" s="56" t="n">
        <f aca="false">IF(Data!J50="","",Data!J50)</f>
        <v>46331</v>
      </c>
      <c r="K50" s="47" t="n">
        <f aca="false">IF(J50="","",J50-Dashboard!$C$4)</f>
        <v>9</v>
      </c>
      <c r="L50" s="47" t="str">
        <f aca="false">IF(K50="","",IF(K50&lt;0,"EXPIRED",IF(K50&lt;=Dashboard!$C$5,"EXPIRING","")))</f>
        <v>EXPIRING</v>
      </c>
    </row>
    <row r="51" customFormat="false" ht="15" hidden="false" customHeight="false" outlineLevel="0" collapsed="false">
      <c r="A51" s="44" t="n">
        <v>51</v>
      </c>
      <c r="B51" s="54" t="n">
        <f aca="false">Data!A51</f>
        <v>46033</v>
      </c>
      <c r="C51" s="44" t="str">
        <f aca="false">Data!B51</f>
        <v>Dubai Clinic</v>
      </c>
      <c r="D51" s="44" t="str">
        <f aca="false">Data!C51</f>
        <v>OrthoTech ME</v>
      </c>
      <c r="E51" s="44" t="str">
        <f aca="false">Data!E51</f>
        <v>Hip stem, cementless</v>
      </c>
      <c r="F51" s="55" t="n">
        <f aca="false">Data!H51</f>
        <v>1450</v>
      </c>
      <c r="G51" s="55" t="n">
        <f aca="false">IFERROR(AVERAGEIFS(Data!$H:$H,Data!$E:$E,E51),0)</f>
        <v>1469.9375</v>
      </c>
      <c r="H51" s="46" t="n">
        <f aca="false">IF(G51=0,0,F51/G51-1)</f>
        <v>-0.0135635018495684</v>
      </c>
      <c r="I51" s="44" t="str">
        <f aca="false">IF(ABS(H51)&gt;=Dashboard!$C$6,"CHECK","")</f>
        <v/>
      </c>
      <c r="J51" s="54" t="n">
        <f aca="false">IF(Data!J51="","",Data!J51)</f>
        <v>46123</v>
      </c>
      <c r="K51" s="44" t="n">
        <f aca="false">IF(J51="","",J51-Dashboard!$C$4)</f>
        <v>-199</v>
      </c>
      <c r="L51" s="44" t="str">
        <f aca="false">IF(K51="","",IF(K51&lt;0,"EXPIRED",IF(K51&lt;=Dashboard!$C$5,"EXPIRING","")))</f>
        <v>EXPIRED</v>
      </c>
    </row>
    <row r="52" customFormat="false" ht="15" hidden="false" customHeight="false" outlineLevel="0" collapsed="false">
      <c r="A52" s="47" t="n">
        <v>52</v>
      </c>
      <c r="B52" s="56" t="n">
        <f aca="false">Data!A52</f>
        <v>46089</v>
      </c>
      <c r="C52" s="47" t="str">
        <f aca="false">Data!B52</f>
        <v>Abu Dhabi Main</v>
      </c>
      <c r="D52" s="47" t="str">
        <f aca="false">Data!C52</f>
        <v>ProtectWear Trading</v>
      </c>
      <c r="E52" s="47" t="str">
        <f aca="false">Data!E52</f>
        <v>Isolation gown (pack 10)</v>
      </c>
      <c r="F52" s="57" t="n">
        <f aca="false">Data!H52</f>
        <v>12.98</v>
      </c>
      <c r="G52" s="57" t="n">
        <f aca="false">IFERROR(AVERAGEIFS(Data!$H:$H,Data!$E:$E,E52),0)</f>
        <v>11.2357142857143</v>
      </c>
      <c r="H52" s="49" t="n">
        <f aca="false">IF(G52=0,0,F52/G52-1)</f>
        <v>0.155244755244755</v>
      </c>
      <c r="I52" s="47" t="str">
        <f aca="false">IF(ABS(H52)&gt;=Dashboard!$C$6,"CHECK","")</f>
        <v>CHECK</v>
      </c>
      <c r="J52" s="56" t="str">
        <f aca="false">IF(Data!J52="","",Data!J52)</f>
        <v/>
      </c>
      <c r="K52" s="47" t="str">
        <f aca="false">IF(J52="","",J52-Dashboard!$C$4)</f>
        <v/>
      </c>
      <c r="L52" s="47" t="str">
        <f aca="false">IF(K52="","",IF(K52&lt;0,"EXPIRED",IF(K52&lt;=Dashboard!$C$5,"EXPIRING","")))</f>
        <v/>
      </c>
    </row>
    <row r="53" customFormat="false" ht="15" hidden="false" customHeight="false" outlineLevel="0" collapsed="false">
      <c r="A53" s="44" t="n">
        <v>53</v>
      </c>
      <c r="B53" s="54" t="n">
        <f aca="false">Data!A53</f>
        <v>46238</v>
      </c>
      <c r="C53" s="44" t="str">
        <f aca="false">Data!B53</f>
        <v>Abu Dhabi Main</v>
      </c>
      <c r="D53" s="44" t="str">
        <f aca="false">Data!C53</f>
        <v>LabSupply Gulf</v>
      </c>
      <c r="E53" s="44" t="str">
        <f aca="false">Data!E53</f>
        <v>HbA1c reagent kit</v>
      </c>
      <c r="F53" s="55" t="n">
        <f aca="false">Data!H53</f>
        <v>178.5</v>
      </c>
      <c r="G53" s="55" t="n">
        <f aca="false">IFERROR(AVERAGEIFS(Data!$H:$H,Data!$E:$E,E53),0)</f>
        <v>217.14</v>
      </c>
      <c r="H53" s="46" t="n">
        <f aca="false">IF(G53=0,0,F53/G53-1)</f>
        <v>-0.177949709864604</v>
      </c>
      <c r="I53" s="44" t="str">
        <f aca="false">IF(ABS(H53)&gt;=Dashboard!$C$6,"CHECK","")</f>
        <v>CHECK</v>
      </c>
      <c r="J53" s="54" t="str">
        <f aca="false">IF(Data!J53="","",Data!J53)</f>
        <v/>
      </c>
      <c r="K53" s="44" t="str">
        <f aca="false">IF(J53="","",J53-Dashboard!$C$4)</f>
        <v/>
      </c>
      <c r="L53" s="44" t="str">
        <f aca="false">IF(K53="","",IF(K53&lt;0,"EXPIRED",IF(K53&lt;=Dashboard!$C$5,"EXPIRING","")))</f>
        <v/>
      </c>
    </row>
    <row r="54" customFormat="false" ht="15" hidden="false" customHeight="false" outlineLevel="0" collapsed="false">
      <c r="A54" s="47" t="n">
        <v>54</v>
      </c>
      <c r="B54" s="56" t="n">
        <f aca="false">Data!A54</f>
        <v>46146</v>
      </c>
      <c r="C54" s="47" t="str">
        <f aca="false">Data!B54</f>
        <v>Dubai Clinic</v>
      </c>
      <c r="D54" s="47" t="str">
        <f aca="false">Data!C54</f>
        <v>OrthoTech ME</v>
      </c>
      <c r="E54" s="47" t="str">
        <f aca="false">Data!E54</f>
        <v>Hip stem, cementless</v>
      </c>
      <c r="F54" s="57" t="n">
        <f aca="false">Data!H54</f>
        <v>1812.5</v>
      </c>
      <c r="G54" s="57" t="n">
        <f aca="false">IFERROR(AVERAGEIFS(Data!$H:$H,Data!$E:$E,E54),0)</f>
        <v>1469.9375</v>
      </c>
      <c r="H54" s="49" t="n">
        <f aca="false">IF(G54=0,0,F54/G54-1)</f>
        <v>0.23304562268804</v>
      </c>
      <c r="I54" s="47" t="str">
        <f aca="false">IF(ABS(H54)&gt;=Dashboard!$C$6,"CHECK","")</f>
        <v>CHECK</v>
      </c>
      <c r="J54" s="56" t="str">
        <f aca="false">IF(Data!J54="","",Data!J54)</f>
        <v/>
      </c>
      <c r="K54" s="47" t="str">
        <f aca="false">IF(J54="","",J54-Dashboard!$C$4)</f>
        <v/>
      </c>
      <c r="L54" s="47" t="str">
        <f aca="false">IF(K54="","",IF(K54&lt;0,"EXPIRED",IF(K54&lt;=Dashboard!$C$5,"EXPIRING","")))</f>
        <v/>
      </c>
    </row>
    <row r="55" customFormat="false" ht="15" hidden="false" customHeight="false" outlineLevel="0" collapsed="false">
      <c r="A55" s="44" t="n">
        <v>55</v>
      </c>
      <c r="B55" s="54" t="n">
        <f aca="false">Data!A55</f>
        <v>46126</v>
      </c>
      <c r="C55" s="44" t="str">
        <f aca="false">Data!B55</f>
        <v>Al Ain</v>
      </c>
      <c r="D55" s="44" t="str">
        <f aca="false">Data!C55</f>
        <v>ProtectWear Trading</v>
      </c>
      <c r="E55" s="44" t="str">
        <f aca="false">Data!E55</f>
        <v>Isolation gown (pack 10)</v>
      </c>
      <c r="F55" s="55" t="n">
        <f aca="false">Data!H55</f>
        <v>11</v>
      </c>
      <c r="G55" s="55" t="n">
        <f aca="false">IFERROR(AVERAGEIFS(Data!$H:$H,Data!$E:$E,E55),0)</f>
        <v>11.2357142857143</v>
      </c>
      <c r="H55" s="46" t="n">
        <f aca="false">IF(G55=0,0,F55/G55-1)</f>
        <v>-0.0209790209790209</v>
      </c>
      <c r="I55" s="44" t="str">
        <f aca="false">IF(ABS(H55)&gt;=Dashboard!$C$6,"CHECK","")</f>
        <v/>
      </c>
      <c r="J55" s="54" t="str">
        <f aca="false">IF(Data!J55="","",Data!J55)</f>
        <v/>
      </c>
      <c r="K55" s="44" t="str">
        <f aca="false">IF(J55="","",J55-Dashboard!$C$4)</f>
        <v/>
      </c>
      <c r="L55" s="44" t="str">
        <f aca="false">IF(K55="","",IF(K55&lt;0,"EXPIRED",IF(K55&lt;=Dashboard!$C$5,"EXPIRING","")))</f>
        <v/>
      </c>
    </row>
    <row r="56" customFormat="false" ht="15" hidden="false" customHeight="false" outlineLevel="0" collapsed="false">
      <c r="A56" s="47" t="n">
        <v>56</v>
      </c>
      <c r="B56" s="56" t="n">
        <f aca="false">Data!A56</f>
        <v>46076</v>
      </c>
      <c r="C56" s="47" t="str">
        <f aca="false">Data!B56</f>
        <v>Abu Dhabi Main</v>
      </c>
      <c r="D56" s="47" t="str">
        <f aca="false">Data!C56</f>
        <v>OrthoTech ME</v>
      </c>
      <c r="E56" s="47" t="str">
        <f aca="false">Data!E56</f>
        <v>Hip stem, cementless</v>
      </c>
      <c r="F56" s="57" t="n">
        <f aca="false">Data!H56</f>
        <v>1508</v>
      </c>
      <c r="G56" s="57" t="n">
        <f aca="false">IFERROR(AVERAGEIFS(Data!$H:$H,Data!$E:$E,E56),0)</f>
        <v>1469.9375</v>
      </c>
      <c r="H56" s="49" t="n">
        <f aca="false">IF(G56=0,0,F56/G56-1)</f>
        <v>0.0258939580764488</v>
      </c>
      <c r="I56" s="47" t="str">
        <f aca="false">IF(ABS(H56)&gt;=Dashboard!$C$6,"CHECK","")</f>
        <v/>
      </c>
      <c r="J56" s="56" t="n">
        <f aca="false">IF(Data!J56="","",Data!J56)</f>
        <v>46256</v>
      </c>
      <c r="K56" s="47" t="n">
        <f aca="false">IF(J56="","",J56-Dashboard!$C$4)</f>
        <v>-66</v>
      </c>
      <c r="L56" s="47" t="str">
        <f aca="false">IF(K56="","",IF(K56&lt;0,"EXPIRED",IF(K56&lt;=Dashboard!$C$5,"EXPIRING","")))</f>
        <v>EXPIRED</v>
      </c>
    </row>
    <row r="57" customFormat="false" ht="15" hidden="false" customHeight="false" outlineLevel="0" collapsed="false">
      <c r="A57" s="44" t="n">
        <v>57</v>
      </c>
      <c r="B57" s="54" t="n">
        <f aca="false">Data!A57</f>
        <v>46210</v>
      </c>
      <c r="C57" s="44" t="str">
        <f aca="false">Data!B57</f>
        <v>Abu Dhabi Main</v>
      </c>
      <c r="D57" s="44" t="str">
        <f aca="false">Data!C57</f>
        <v>Premier Surgical LLC</v>
      </c>
      <c r="E57" s="44" t="str">
        <f aca="false">Data!E57</f>
        <v>Hip stem, cementless</v>
      </c>
      <c r="F57" s="55" t="n">
        <f aca="false">Data!H57</f>
        <v>1450</v>
      </c>
      <c r="G57" s="55" t="n">
        <f aca="false">IFERROR(AVERAGEIFS(Data!$H:$H,Data!$E:$E,E57),0)</f>
        <v>1469.9375</v>
      </c>
      <c r="H57" s="46" t="n">
        <f aca="false">IF(G57=0,0,F57/G57-1)</f>
        <v>-0.0135635018495684</v>
      </c>
      <c r="I57" s="44" t="str">
        <f aca="false">IF(ABS(H57)&gt;=Dashboard!$C$6,"CHECK","")</f>
        <v/>
      </c>
      <c r="J57" s="54" t="str">
        <f aca="false">IF(Data!J57="","",Data!J57)</f>
        <v/>
      </c>
      <c r="K57" s="44" t="str">
        <f aca="false">IF(J57="","",J57-Dashboard!$C$4)</f>
        <v/>
      </c>
      <c r="L57" s="44" t="str">
        <f aca="false">IF(K57="","",IF(K57&lt;0,"EXPIRED",IF(K57&lt;=Dashboard!$C$5,"EXPIRING","")))</f>
        <v/>
      </c>
    </row>
    <row r="58" customFormat="false" ht="15" hidden="false" customHeight="false" outlineLevel="0" collapsed="false">
      <c r="A58" s="47" t="n">
        <v>58</v>
      </c>
      <c r="B58" s="56" t="n">
        <f aca="false">Data!A58</f>
        <v>46081</v>
      </c>
      <c r="C58" s="47" t="str">
        <f aca="false">Data!B58</f>
        <v>Dubai Clinic</v>
      </c>
      <c r="D58" s="47" t="str">
        <f aca="false">Data!C58</f>
        <v>ProtectWear Trading</v>
      </c>
      <c r="E58" s="47" t="str">
        <f aca="false">Data!E58</f>
        <v>Isolation gown (pack 10)</v>
      </c>
      <c r="F58" s="57" t="n">
        <f aca="false">Data!H58</f>
        <v>11</v>
      </c>
      <c r="G58" s="57" t="n">
        <f aca="false">IFERROR(AVERAGEIFS(Data!$H:$H,Data!$E:$E,E58),0)</f>
        <v>11.2357142857143</v>
      </c>
      <c r="H58" s="49" t="n">
        <f aca="false">IF(G58=0,0,F58/G58-1)</f>
        <v>-0.0209790209790209</v>
      </c>
      <c r="I58" s="47" t="str">
        <f aca="false">IF(ABS(H58)&gt;=Dashboard!$C$6,"CHECK","")</f>
        <v/>
      </c>
      <c r="J58" s="56" t="n">
        <f aca="false">IF(Data!J58="","",Data!J58)</f>
        <v>46446</v>
      </c>
      <c r="K58" s="47" t="n">
        <f aca="false">IF(J58="","",J58-Dashboard!$C$4)</f>
        <v>124</v>
      </c>
      <c r="L58" s="47" t="str">
        <f aca="false">IF(K58="","",IF(K58&lt;0,"EXPIRED",IF(K58&lt;=Dashboard!$C$5,"EXPIRING","")))</f>
        <v/>
      </c>
    </row>
    <row r="59" customFormat="false" ht="15" hidden="false" customHeight="false" outlineLevel="0" collapsed="false">
      <c r="A59" s="44" t="n">
        <v>59</v>
      </c>
      <c r="B59" s="54" t="n">
        <f aca="false">Data!A59</f>
        <v>46115</v>
      </c>
      <c r="C59" s="44" t="str">
        <f aca="false">Data!B59</f>
        <v>Dubai Clinic</v>
      </c>
      <c r="D59" s="44" t="str">
        <f aca="false">Data!C59</f>
        <v>CoolChain Logistics</v>
      </c>
      <c r="E59" s="44" t="str">
        <f aca="false">Data!E59</f>
        <v>Cold-chain delivery (per trip)</v>
      </c>
      <c r="F59" s="55" t="n">
        <f aca="false">Data!H59</f>
        <v>120</v>
      </c>
      <c r="G59" s="55" t="n">
        <f aca="false">IFERROR(AVERAGEIFS(Data!$H:$H,Data!$E:$E,E59),0)</f>
        <v>118.8</v>
      </c>
      <c r="H59" s="46" t="n">
        <f aca="false">IF(G59=0,0,F59/G59-1)</f>
        <v>0.0101010101010102</v>
      </c>
      <c r="I59" s="44" t="str">
        <f aca="false">IF(ABS(H59)&gt;=Dashboard!$C$6,"CHECK","")</f>
        <v/>
      </c>
      <c r="J59" s="54" t="str">
        <f aca="false">IF(Data!J59="","",Data!J59)</f>
        <v/>
      </c>
      <c r="K59" s="44" t="str">
        <f aca="false">IF(J59="","",J59-Dashboard!$C$4)</f>
        <v/>
      </c>
      <c r="L59" s="44" t="str">
        <f aca="false">IF(K59="","",IF(K59&lt;0,"EXPIRED",IF(K59&lt;=Dashboard!$C$5,"EXPIRING","")))</f>
        <v/>
      </c>
    </row>
    <row r="60" customFormat="false" ht="15" hidden="false" customHeight="false" outlineLevel="0" collapsed="false">
      <c r="A60" s="47" t="n">
        <v>60</v>
      </c>
      <c r="B60" s="56" t="n">
        <f aca="false">Data!A60</f>
        <v>46076</v>
      </c>
      <c r="C60" s="47" t="str">
        <f aca="false">Data!B60</f>
        <v>Dubai Clinic</v>
      </c>
      <c r="D60" s="47" t="str">
        <f aca="false">Data!C60</f>
        <v>Diagnostix FZE</v>
      </c>
      <c r="E60" s="47" t="str">
        <f aca="false">Data!E60</f>
        <v>HbA1c reagent kit</v>
      </c>
      <c r="F60" s="57" t="n">
        <f aca="false">Data!H60</f>
        <v>247.8</v>
      </c>
      <c r="G60" s="57" t="n">
        <f aca="false">IFERROR(AVERAGEIFS(Data!$H:$H,Data!$E:$E,E60),0)</f>
        <v>217.14</v>
      </c>
      <c r="H60" s="49" t="n">
        <f aca="false">IF(G60=0,0,F60/G60-1)</f>
        <v>0.141199226305609</v>
      </c>
      <c r="I60" s="47" t="str">
        <f aca="false">IF(ABS(H60)&gt;=Dashboard!$C$6,"CHECK","")</f>
        <v>CHECK</v>
      </c>
      <c r="J60" s="56" t="n">
        <f aca="false">IF(Data!J60="","",Data!J60)</f>
        <v>46256</v>
      </c>
      <c r="K60" s="47" t="n">
        <f aca="false">IF(J60="","",J60-Dashboard!$C$4)</f>
        <v>-66</v>
      </c>
      <c r="L60" s="47" t="str">
        <f aca="false">IF(K60="","",IF(K60&lt;0,"EXPIRED",IF(K60&lt;=Dashboard!$C$5,"EXPIRING","")))</f>
        <v>EXPIRED</v>
      </c>
    </row>
    <row r="61" customFormat="false" ht="15" hidden="false" customHeight="false" outlineLevel="0" collapsed="false">
      <c r="A61" s="44" t="n">
        <v>61</v>
      </c>
      <c r="B61" s="54" t="n">
        <f aca="false">Data!A61</f>
        <v>46047</v>
      </c>
      <c r="C61" s="44" t="str">
        <f aca="false">Data!B61</f>
        <v>Dubai Clinic</v>
      </c>
      <c r="D61" s="44" t="str">
        <f aca="false">Data!C61</f>
        <v>MedEquip Arabia</v>
      </c>
      <c r="E61" s="44" t="str">
        <f aca="false">Data!E61</f>
        <v>Patient monitor 5-para</v>
      </c>
      <c r="F61" s="55" t="n">
        <f aca="false">Data!H61</f>
        <v>4074</v>
      </c>
      <c r="G61" s="55" t="n">
        <f aca="false">IFERROR(AVERAGEIFS(Data!$H:$H,Data!$E:$E,E61),0)</f>
        <v>4221</v>
      </c>
      <c r="H61" s="46" t="n">
        <f aca="false">IF(G61=0,0,F61/G61-1)</f>
        <v>-0.0348258706467661</v>
      </c>
      <c r="I61" s="44" t="str">
        <f aca="false">IF(ABS(H61)&gt;=Dashboard!$C$6,"CHECK","")</f>
        <v/>
      </c>
      <c r="J61" s="54" t="str">
        <f aca="false">IF(Data!J61="","",Data!J61)</f>
        <v/>
      </c>
      <c r="K61" s="44" t="str">
        <f aca="false">IF(J61="","",J61-Dashboard!$C$4)</f>
        <v/>
      </c>
      <c r="L61" s="44" t="str">
        <f aca="false">IF(K61="","",IF(K61&lt;0,"EXPIRED",IF(K61&lt;=Dashboard!$C$5,"EXPIRING","")))</f>
        <v/>
      </c>
    </row>
    <row r="62" customFormat="false" ht="15" hidden="false" customHeight="false" outlineLevel="0" collapsed="false">
      <c r="A62" s="47" t="n">
        <v>62</v>
      </c>
      <c r="B62" s="56" t="n">
        <f aca="false">Data!A62</f>
        <v>46126</v>
      </c>
      <c r="C62" s="47" t="str">
        <f aca="false">Data!B62</f>
        <v>Al Ain</v>
      </c>
      <c r="D62" s="47" t="str">
        <f aca="false">Data!C62</f>
        <v>Premier Surgical LLC</v>
      </c>
      <c r="E62" s="47" t="str">
        <f aca="false">Data!E62</f>
        <v>Bone screw 4.5mm</v>
      </c>
      <c r="F62" s="57" t="n">
        <f aca="false">Data!H62</f>
        <v>36.86</v>
      </c>
      <c r="G62" s="57" t="n">
        <f aca="false">IFERROR(AVERAGEIFS(Data!$H:$H,Data!$E:$E,E62),0)</f>
        <v>40.4066666666667</v>
      </c>
      <c r="H62" s="49" t="n">
        <f aca="false">IF(G62=0,0,F62/G62-1)</f>
        <v>-0.0877742946708464</v>
      </c>
      <c r="I62" s="47" t="str">
        <f aca="false">IF(ABS(H62)&gt;=Dashboard!$C$6,"CHECK","")</f>
        <v/>
      </c>
      <c r="J62" s="56" t="n">
        <f aca="false">IF(Data!J62="","",Data!J62)</f>
        <v>46156</v>
      </c>
      <c r="K62" s="47" t="n">
        <f aca="false">IF(J62="","",J62-Dashboard!$C$4)</f>
        <v>-166</v>
      </c>
      <c r="L62" s="47" t="str">
        <f aca="false">IF(K62="","",IF(K62&lt;0,"EXPIRED",IF(K62&lt;=Dashboard!$C$5,"EXPIRING","")))</f>
        <v>EXPIRED</v>
      </c>
    </row>
    <row r="63" customFormat="false" ht="15" hidden="false" customHeight="false" outlineLevel="0" collapsed="false">
      <c r="A63" s="44" t="n">
        <v>63</v>
      </c>
      <c r="B63" s="54" t="n">
        <f aca="false">Data!A63</f>
        <v>46201</v>
      </c>
      <c r="C63" s="44" t="str">
        <f aca="false">Data!B63</f>
        <v>Sharjah</v>
      </c>
      <c r="D63" s="44" t="str">
        <f aca="false">Data!C63</f>
        <v>MedPharma Distribution</v>
      </c>
      <c r="E63" s="44" t="str">
        <f aca="false">Data!E63</f>
        <v>Insulin glargine 100IU/ml pen</v>
      </c>
      <c r="F63" s="55" t="n">
        <f aca="false">Data!H63</f>
        <v>28</v>
      </c>
      <c r="G63" s="55" t="n">
        <f aca="false">IFERROR(AVERAGEIFS(Data!$H:$H,Data!$E:$E,E63),0)</f>
        <v>28</v>
      </c>
      <c r="H63" s="46" t="n">
        <f aca="false">IF(G63=0,0,F63/G63-1)</f>
        <v>0</v>
      </c>
      <c r="I63" s="44" t="str">
        <f aca="false">IF(ABS(H63)&gt;=Dashboard!$C$6,"CHECK","")</f>
        <v/>
      </c>
      <c r="J63" s="54" t="str">
        <f aca="false">IF(Data!J63="","",Data!J63)</f>
        <v/>
      </c>
      <c r="K63" s="44" t="str">
        <f aca="false">IF(J63="","",J63-Dashboard!$C$4)</f>
        <v/>
      </c>
      <c r="L63" s="44" t="str">
        <f aca="false">IF(K63="","",IF(K63&lt;0,"EXPIRED",IF(K63&lt;=Dashboard!$C$5,"EXPIRING","")))</f>
        <v/>
      </c>
    </row>
    <row r="64" customFormat="false" ht="15" hidden="false" customHeight="false" outlineLevel="0" collapsed="false">
      <c r="A64" s="47" t="n">
        <v>64</v>
      </c>
      <c r="B64" s="56" t="n">
        <f aca="false">Data!A64</f>
        <v>46195</v>
      </c>
      <c r="C64" s="47" t="str">
        <f aca="false">Data!B64</f>
        <v>Dubai Clinic</v>
      </c>
      <c r="D64" s="47" t="str">
        <f aca="false">Data!C64</f>
        <v>Diagnostix FZE</v>
      </c>
      <c r="E64" s="47" t="str">
        <f aca="false">Data!E64</f>
        <v>CBC reagent pack</v>
      </c>
      <c r="F64" s="57" t="n">
        <f aca="false">Data!H64</f>
        <v>140.25</v>
      </c>
      <c r="G64" s="57" t="n">
        <f aca="false">IFERROR(AVERAGEIFS(Data!$H:$H,Data!$E:$E,E64),0)</f>
        <v>140.25</v>
      </c>
      <c r="H64" s="49" t="n">
        <f aca="false">IF(G64=0,0,F64/G64-1)</f>
        <v>0</v>
      </c>
      <c r="I64" s="47" t="str">
        <f aca="false">IF(ABS(H64)&gt;=Dashboard!$C$6,"CHECK","")</f>
        <v/>
      </c>
      <c r="J64" s="56" t="str">
        <f aca="false">IF(Data!J64="","",Data!J64)</f>
        <v/>
      </c>
      <c r="K64" s="47" t="str">
        <f aca="false">IF(J64="","",J64-Dashboard!$C$4)</f>
        <v/>
      </c>
      <c r="L64" s="47" t="str">
        <f aca="false">IF(K64="","",IF(K64&lt;0,"EXPIRED",IF(K64&lt;=Dashboard!$C$5,"EXPIRING","")))</f>
        <v/>
      </c>
    </row>
    <row r="66" customFormat="false" ht="15" hidden="false" customHeight="false" outlineLevel="0" collapsed="false">
      <c r="A66" s="20" t="s">
        <v>131</v>
      </c>
    </row>
  </sheetData>
  <autoFilter ref="A4:L64"/>
  <conditionalFormatting sqref="I5:I64">
    <cfRule type="cellIs" priority="2" operator="equal" aboveAverage="0" equalAverage="0" bottom="0" percent="0" rank="0" text="" dxfId="6">
      <formula>"CHECK"</formula>
    </cfRule>
  </conditionalFormatting>
  <conditionalFormatting sqref="L5:L64">
    <cfRule type="cellIs" priority="3" operator="equal" aboveAverage="0" equalAverage="0" bottom="0" percent="0" rank="0" text="" dxfId="7">
      <formula>"EXPIRED"</formula>
    </cfRule>
    <cfRule type="cellIs" priority="4" operator="equal" aboveAverage="0" equalAverage="0" bottom="0" percent="0" rank="0" text="" dxfId="6">
      <formula>"EXPIRING"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2026-10-27T14:19:52Z</dcterms:created>
  <dc:creator>openpyxl</dc:creator>
  <dc:description/>
  <dc:language>en-US</dc:language>
  <cp:lastModifiedBy/>
  <dcterms:modified xsi:type="dcterms:W3CDTF">2026-10-27T18:19:54Z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